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ttinger.Vilmos\Documents\Dokumentumok1\2014\Beszámolók\"/>
    </mc:Choice>
  </mc:AlternateContent>
  <bookViews>
    <workbookView xWindow="0" yWindow="0" windowWidth="15345" windowHeight="4650" firstSheet="15" activeTab="19"/>
  </bookViews>
  <sheets>
    <sheet name="1" sheetId="4441" r:id="rId1"/>
    <sheet name="1 (szegedi)" sheetId="4442" r:id="rId2"/>
    <sheet name="1 (visegrádi)" sheetId="4443" r:id="rId3"/>
    <sheet name="2" sheetId="4444" r:id="rId4"/>
    <sheet name="3" sheetId="4445" r:id="rId5"/>
    <sheet name="4" sheetId="4446" r:id="rId6"/>
    <sheet name="5" sheetId="1" r:id="rId7"/>
    <sheet name="6 (státusz)" sheetId="4450" state="hidden" r:id="rId8"/>
    <sheet name="6 (statisztikai)" sheetId="4451" r:id="rId9"/>
    <sheet name="7" sheetId="2" r:id="rId10"/>
    <sheet name="8" sheetId="3" r:id="rId11"/>
    <sheet name="9" sheetId="200" r:id="rId12"/>
    <sheet name="10" sheetId="4440" r:id="rId13"/>
    <sheet name="11. beruházás összesen" sheetId="4453" r:id="rId14"/>
    <sheet name="11. beruházás részletes" sheetId="4455" r:id="rId15"/>
    <sheet name="Eszközök" sheetId="4457" r:id="rId16"/>
    <sheet name="Források" sheetId="4458" r:id="rId17"/>
    <sheet name="Eredmény" sheetId="4459" r:id="rId18"/>
    <sheet name="Szegedi társasház" sheetId="4460" r:id="rId19"/>
    <sheet name="Visegrádi társasház" sheetId="4461" r:id="rId20"/>
    <sheet name="Munka5" sheetId="4456" r:id="rId21"/>
    <sheet name="Munka3" sheetId="4454" r:id="rId22"/>
  </sheets>
  <definedNames>
    <definedName name="_xlnm.Print_Area" localSheetId="12">'10'!$A$1:$F$6</definedName>
    <definedName name="_xlnm.Print_Area" localSheetId="14">'11. beruházás részletes'!$A$1:$D$82</definedName>
    <definedName name="_xlnm.Print_Area" localSheetId="3">'2'!$A$1:$J$43</definedName>
    <definedName name="_xlnm.Print_Area" localSheetId="6">'5'!$A$1:$N$25</definedName>
    <definedName name="_xlnm.Print_Area" localSheetId="9">'7'!$A$1:$N$42</definedName>
    <definedName name="_xlnm.Print_Area" localSheetId="10">'8'!$A$1:$F$8</definedName>
    <definedName name="_xlnm.Print_Area" localSheetId="11">'9'!$A$1:$F$28</definedName>
  </definedNames>
  <calcPr calcId="152511"/>
</workbook>
</file>

<file path=xl/calcChain.xml><?xml version="1.0" encoding="utf-8"?>
<calcChain xmlns="http://schemas.openxmlformats.org/spreadsheetml/2006/main">
  <c r="F30" i="4461" l="1"/>
  <c r="G30" i="4461" s="1"/>
  <c r="E30" i="4461"/>
  <c r="G29" i="4461"/>
  <c r="G28" i="4461"/>
  <c r="G27" i="4461"/>
  <c r="G26" i="4461"/>
  <c r="G25" i="4461"/>
  <c r="G24" i="4461"/>
  <c r="G23" i="4461"/>
  <c r="G22" i="4461"/>
  <c r="G21" i="4461"/>
  <c r="G20" i="4461"/>
  <c r="F14" i="4461"/>
  <c r="G14" i="4461" s="1"/>
  <c r="F30" i="4460"/>
  <c r="G30" i="4460" s="1"/>
  <c r="E30" i="4460"/>
  <c r="G29" i="4460"/>
  <c r="G28" i="4460"/>
  <c r="G27" i="4460"/>
  <c r="G26" i="4460"/>
  <c r="G25" i="4460"/>
  <c r="G24" i="4460"/>
  <c r="G23" i="4460"/>
  <c r="G22" i="4460"/>
  <c r="G21" i="4460"/>
  <c r="G20" i="4460"/>
  <c r="G14" i="4460"/>
  <c r="F14" i="4460"/>
  <c r="E56" i="4459"/>
  <c r="D56" i="4459"/>
  <c r="D52" i="4459"/>
  <c r="E51" i="4459"/>
  <c r="D51" i="4459"/>
  <c r="E43" i="4459"/>
  <c r="E52" i="4459" s="1"/>
  <c r="D43" i="4459"/>
  <c r="E28" i="4459"/>
  <c r="D28" i="4459"/>
  <c r="E24" i="4459"/>
  <c r="D24" i="4459"/>
  <c r="E17" i="4459"/>
  <c r="E15" i="4459" s="1"/>
  <c r="D15" i="4459"/>
  <c r="E11" i="4459"/>
  <c r="D11" i="4459"/>
  <c r="D32" i="4459" s="1"/>
  <c r="D53" i="4459" s="1"/>
  <c r="D57" i="4459" s="1"/>
  <c r="D59" i="4459" s="1"/>
  <c r="D62" i="4459" s="1"/>
  <c r="A10" i="4459"/>
  <c r="A11" i="4459" s="1"/>
  <c r="A12" i="4459" s="1"/>
  <c r="A13" i="4459" s="1"/>
  <c r="A14" i="4459" s="1"/>
  <c r="A15" i="4459" s="1"/>
  <c r="A18" i="4459" s="1"/>
  <c r="A19" i="4459" s="1"/>
  <c r="A20" i="4459" s="1"/>
  <c r="A21" i="4459" s="1"/>
  <c r="A22" i="4459" s="1"/>
  <c r="A23" i="4459" s="1"/>
  <c r="A24" i="4459" s="1"/>
  <c r="A25" i="4459" s="1"/>
  <c r="A26" i="4459" s="1"/>
  <c r="A27" i="4459" s="1"/>
  <c r="A28" i="4459" s="1"/>
  <c r="A29" i="4459" s="1"/>
  <c r="A30" i="4459" s="1"/>
  <c r="A31" i="4459" s="1"/>
  <c r="A32" i="4459" s="1"/>
  <c r="A33" i="4459" s="1"/>
  <c r="A34" i="4459" s="1"/>
  <c r="A35" i="4459" s="1"/>
  <c r="A36" i="4459" s="1"/>
  <c r="A37" i="4459" s="1"/>
  <c r="A38" i="4459" s="1"/>
  <c r="A39" i="4459" s="1"/>
  <c r="A40" i="4459" s="1"/>
  <c r="A41" i="4459" s="1"/>
  <c r="A42" i="4459" s="1"/>
  <c r="A43" i="4459" s="1"/>
  <c r="A44" i="4459" s="1"/>
  <c r="A45" i="4459" s="1"/>
  <c r="A46" i="4459" s="1"/>
  <c r="A47" i="4459" s="1"/>
  <c r="A48" i="4459" s="1"/>
  <c r="A49" i="4459" s="1"/>
  <c r="A50" i="4459" s="1"/>
  <c r="A51" i="4459" s="1"/>
  <c r="A52" i="4459" s="1"/>
  <c r="A53" i="4459" s="1"/>
  <c r="A54" i="4459" s="1"/>
  <c r="A55" i="4459" s="1"/>
  <c r="A56" i="4459" s="1"/>
  <c r="A57" i="4459" s="1"/>
  <c r="A58" i="4459" s="1"/>
  <c r="A59" i="4459" s="1"/>
  <c r="A60" i="4459" s="1"/>
  <c r="A61" i="4459" s="1"/>
  <c r="A62" i="4459" s="1"/>
  <c r="E9" i="4459"/>
  <c r="D9" i="4459"/>
  <c r="E49" i="4458"/>
  <c r="D49" i="4458"/>
  <c r="E36" i="4458"/>
  <c r="D36" i="4458"/>
  <c r="E22" i="4458"/>
  <c r="E53" i="4458" s="1"/>
  <c r="D22" i="4458"/>
  <c r="A8" i="4458"/>
  <c r="A9" i="4458" s="1"/>
  <c r="A10" i="4458" s="1"/>
  <c r="A11" i="4458" s="1"/>
  <c r="A12" i="4458" s="1"/>
  <c r="A13" i="4458" s="1"/>
  <c r="A14" i="4458" s="1"/>
  <c r="A15" i="4458" s="1"/>
  <c r="A16" i="4458" s="1"/>
  <c r="A17" i="4458" s="1"/>
  <c r="A18" i="4458" s="1"/>
  <c r="A19" i="4458" s="1"/>
  <c r="A20" i="4458" s="1"/>
  <c r="A21" i="4458" s="1"/>
  <c r="A22" i="4458" s="1"/>
  <c r="A23" i="4458" s="1"/>
  <c r="A24" i="4458" s="1"/>
  <c r="A25" i="4458" s="1"/>
  <c r="A26" i="4458" s="1"/>
  <c r="A27" i="4458" s="1"/>
  <c r="A28" i="4458" s="1"/>
  <c r="A29" i="4458" s="1"/>
  <c r="A30" i="4458" s="1"/>
  <c r="A31" i="4458" s="1"/>
  <c r="A32" i="4458" s="1"/>
  <c r="A33" i="4458" s="1"/>
  <c r="A34" i="4458" s="1"/>
  <c r="A35" i="4458" s="1"/>
  <c r="A36" i="4458" s="1"/>
  <c r="A37" i="4458" s="1"/>
  <c r="A38" i="4458" s="1"/>
  <c r="A39" i="4458" s="1"/>
  <c r="A40" i="4458" s="1"/>
  <c r="A41" i="4458" s="1"/>
  <c r="A43" i="4458" s="1"/>
  <c r="A44" i="4458" s="1"/>
  <c r="A45" i="4458" s="1"/>
  <c r="A46" i="4458" s="1"/>
  <c r="A47" i="4458" s="1"/>
  <c r="A48" i="4458" s="1"/>
  <c r="A49" i="4458" s="1"/>
  <c r="A50" i="4458" s="1"/>
  <c r="A51" i="4458" s="1"/>
  <c r="A52" i="4458" s="1"/>
  <c r="A53" i="4458" s="1"/>
  <c r="E7" i="4458"/>
  <c r="D7" i="4458"/>
  <c r="D53" i="4458" s="1"/>
  <c r="E58" i="4457"/>
  <c r="D58" i="4457"/>
  <c r="E55" i="4457"/>
  <c r="D55" i="4457"/>
  <c r="E41" i="4457"/>
  <c r="D41" i="4457"/>
  <c r="E34" i="4457"/>
  <c r="D34" i="4457"/>
  <c r="D33" i="4457" s="1"/>
  <c r="E33" i="4457"/>
  <c r="E24" i="4457"/>
  <c r="D24" i="4457"/>
  <c r="E16" i="4457"/>
  <c r="D16" i="4457"/>
  <c r="A9" i="4457"/>
  <c r="A10" i="4457" s="1"/>
  <c r="A11" i="4457" s="1"/>
  <c r="A12" i="4457" s="1"/>
  <c r="A13" i="4457" s="1"/>
  <c r="A14" i="4457" s="1"/>
  <c r="A15" i="4457" s="1"/>
  <c r="A16" i="4457" s="1"/>
  <c r="A17" i="4457" s="1"/>
  <c r="A18" i="4457" s="1"/>
  <c r="A19" i="4457" s="1"/>
  <c r="A20" i="4457" s="1"/>
  <c r="A21" i="4457" s="1"/>
  <c r="A22" i="4457" s="1"/>
  <c r="A23" i="4457" s="1"/>
  <c r="A24" i="4457" s="1"/>
  <c r="A25" i="4457" s="1"/>
  <c r="A26" i="4457" s="1"/>
  <c r="A27" i="4457" s="1"/>
  <c r="A28" i="4457" s="1"/>
  <c r="A29" i="4457" s="1"/>
  <c r="A30" i="4457" s="1"/>
  <c r="A31" i="4457" s="1"/>
  <c r="A32" i="4457" s="1"/>
  <c r="A33" i="4457" s="1"/>
  <c r="A34" i="4457" s="1"/>
  <c r="A35" i="4457" s="1"/>
  <c r="A36" i="4457" s="1"/>
  <c r="A37" i="4457" s="1"/>
  <c r="A38" i="4457" s="1"/>
  <c r="A39" i="4457" s="1"/>
  <c r="A40" i="4457" s="1"/>
  <c r="A41" i="4457" s="1"/>
  <c r="A42" i="4457" s="1"/>
  <c r="A43" i="4457" s="1"/>
  <c r="A44" i="4457" s="1"/>
  <c r="A45" i="4457" s="1"/>
  <c r="A46" i="4457" s="1"/>
  <c r="A47" i="4457" s="1"/>
  <c r="A48" i="4457" s="1"/>
  <c r="A49" i="4457" s="1"/>
  <c r="A50" i="4457" s="1"/>
  <c r="A51" i="4457" s="1"/>
  <c r="A52" i="4457" s="1"/>
  <c r="A53" i="4457" s="1"/>
  <c r="A54" i="4457" s="1"/>
  <c r="A55" i="4457" s="1"/>
  <c r="A56" i="4457" s="1"/>
  <c r="A57" i="4457" s="1"/>
  <c r="A58" i="4457" s="1"/>
  <c r="A59" i="4457" s="1"/>
  <c r="A60" i="4457" s="1"/>
  <c r="A61" i="4457" s="1"/>
  <c r="A62" i="4457" s="1"/>
  <c r="E8" i="4457"/>
  <c r="E7" i="4457" s="1"/>
  <c r="E62" i="4457" s="1"/>
  <c r="D8" i="4457"/>
  <c r="D7" i="4457" s="1"/>
  <c r="D62" i="4457" s="1"/>
  <c r="E32" i="4459" l="1"/>
  <c r="E53" i="4459" s="1"/>
  <c r="E57" i="4459" s="1"/>
  <c r="E59" i="4459" s="1"/>
  <c r="E62" i="4459" s="1"/>
  <c r="E82" i="4455" l="1"/>
  <c r="D80" i="4455"/>
  <c r="E77" i="4455"/>
  <c r="D72" i="4455"/>
  <c r="E70" i="4455"/>
  <c r="D63" i="4455"/>
  <c r="E61" i="4455"/>
  <c r="E57" i="4455"/>
  <c r="E54" i="4455"/>
  <c r="D49" i="4455"/>
  <c r="E47" i="4455"/>
  <c r="E41" i="4455"/>
  <c r="E34" i="4455"/>
  <c r="E12" i="4455"/>
  <c r="E83" i="4455" s="1"/>
  <c r="G14" i="4453" l="1"/>
  <c r="F14" i="4453"/>
  <c r="D14" i="4453"/>
  <c r="C14" i="4453"/>
  <c r="H14" i="4453" s="1"/>
  <c r="B14" i="4453"/>
  <c r="H11" i="4453"/>
  <c r="H9" i="4453"/>
  <c r="H8" i="4453"/>
  <c r="M11" i="4444"/>
  <c r="M22" i="4444" s="1"/>
  <c r="O11" i="4444"/>
  <c r="Q11" i="4444"/>
  <c r="M18" i="4444"/>
  <c r="O18" i="4444"/>
  <c r="Q18" i="4444"/>
  <c r="Q22" i="4444" s="1"/>
  <c r="L22" i="4444"/>
  <c r="N22" i="4444"/>
  <c r="O22" i="4444"/>
  <c r="P22" i="4444"/>
  <c r="M29" i="4444"/>
  <c r="O29" i="4444"/>
  <c r="O34" i="4444" s="1"/>
  <c r="O36" i="4444" s="1"/>
  <c r="O42" i="4444" s="1"/>
  <c r="Q29" i="4444"/>
  <c r="L34" i="4444"/>
  <c r="M34" i="4444"/>
  <c r="M36" i="4444" s="1"/>
  <c r="M42" i="4444" s="1"/>
  <c r="N34" i="4444"/>
  <c r="N36" i="4444" s="1"/>
  <c r="N42" i="4444" s="1"/>
  <c r="P34" i="4444"/>
  <c r="Q34" i="4444"/>
  <c r="Q36" i="4444" s="1"/>
  <c r="Q42" i="4444" s="1"/>
  <c r="L36" i="4444"/>
  <c r="L42" i="4444" s="1"/>
  <c r="P36" i="4444"/>
  <c r="P42" i="4444" s="1"/>
  <c r="P5" i="1" l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4" i="1"/>
  <c r="M18" i="4451" l="1"/>
  <c r="O15" i="4445"/>
  <c r="I15" i="4445"/>
  <c r="E15" i="4445"/>
  <c r="K15" i="4445"/>
  <c r="J3" i="2"/>
  <c r="E14" i="4446" l="1"/>
  <c r="E15" i="4446"/>
  <c r="E16" i="4446"/>
  <c r="C5" i="200" l="1"/>
  <c r="N15" i="4445" l="1"/>
  <c r="D15" i="4445"/>
  <c r="H15" i="4445"/>
  <c r="F15" i="4445"/>
  <c r="B15" i="4445"/>
  <c r="J15" i="4445"/>
  <c r="O12" i="4445"/>
  <c r="E12" i="4445"/>
  <c r="I12" i="4445"/>
  <c r="G12" i="4445"/>
  <c r="C12" i="4445"/>
  <c r="Q12" i="4445" s="1"/>
  <c r="K12" i="4445"/>
  <c r="M12" i="4445"/>
  <c r="O13" i="4445"/>
  <c r="C13" i="4445"/>
  <c r="Q13" i="4445" s="1"/>
  <c r="E13" i="4445"/>
  <c r="E14" i="4445"/>
  <c r="I13" i="4445"/>
  <c r="G13" i="4445"/>
  <c r="K13" i="4445"/>
  <c r="M13" i="4445"/>
  <c r="O14" i="4445"/>
  <c r="C14" i="4445"/>
  <c r="Q14" i="4445" s="1"/>
  <c r="I14" i="4445"/>
  <c r="G14" i="4445"/>
  <c r="K14" i="4445"/>
  <c r="M14" i="4445"/>
  <c r="G15" i="4445"/>
  <c r="C15" i="4445"/>
  <c r="Q15" i="4445" s="1"/>
  <c r="M15" i="4445"/>
  <c r="C32" i="2"/>
  <c r="D32" i="2"/>
  <c r="D3" i="1"/>
  <c r="C3" i="1"/>
  <c r="E18" i="1"/>
  <c r="G14" i="4446"/>
  <c r="G15" i="4446"/>
  <c r="G16" i="4446"/>
  <c r="P15" i="4445"/>
  <c r="P12" i="4445"/>
  <c r="P13" i="4445"/>
  <c r="P14" i="4445"/>
  <c r="D27" i="4441"/>
  <c r="D26" i="4441"/>
  <c r="D25" i="4441"/>
  <c r="D24" i="4441"/>
  <c r="D23" i="4441"/>
  <c r="D22" i="4441"/>
  <c r="D21" i="4441"/>
  <c r="D20" i="4441"/>
  <c r="D19" i="4441"/>
  <c r="D18" i="4441"/>
  <c r="D17" i="4441"/>
  <c r="D16" i="4441"/>
  <c r="D15" i="4441"/>
  <c r="D14" i="4441"/>
  <c r="D13" i="4441"/>
  <c r="D12" i="4441"/>
  <c r="D11" i="4441"/>
  <c r="D10" i="4441"/>
  <c r="D9" i="4441"/>
  <c r="D8" i="4441"/>
  <c r="D7" i="4441"/>
  <c r="D6" i="4441"/>
  <c r="D5" i="4441"/>
  <c r="D4" i="4441"/>
  <c r="O9" i="4445" l="1"/>
  <c r="I9" i="4445"/>
  <c r="C9" i="4445"/>
  <c r="E9" i="4445"/>
  <c r="G9" i="4445"/>
  <c r="K9" i="4445"/>
  <c r="O10" i="4445"/>
  <c r="I10" i="4445"/>
  <c r="C10" i="4445"/>
  <c r="E10" i="4445"/>
  <c r="K10" i="4445"/>
  <c r="I11" i="4445"/>
  <c r="K11" i="4445"/>
  <c r="E11" i="4445"/>
  <c r="G10" i="4445"/>
  <c r="M10" i="4445"/>
  <c r="O11" i="4445"/>
  <c r="M11" i="4445"/>
  <c r="E17" i="1" l="1"/>
  <c r="P9" i="4445"/>
  <c r="Q9" i="4445"/>
  <c r="P10" i="4445"/>
  <c r="Q10" i="4445"/>
  <c r="P11" i="4445"/>
  <c r="Q11" i="4445"/>
  <c r="N16" i="4445"/>
  <c r="L16" i="4445"/>
  <c r="J16" i="4445"/>
  <c r="H16" i="4445"/>
  <c r="F16" i="4445"/>
  <c r="D16" i="4445"/>
  <c r="B16" i="4445"/>
  <c r="E6" i="2"/>
  <c r="H6" i="2"/>
  <c r="K6" i="2"/>
  <c r="K17" i="1"/>
  <c r="L17" i="1"/>
  <c r="M28" i="2"/>
  <c r="L27" i="2"/>
  <c r="K20" i="2" l="1"/>
  <c r="K7" i="2"/>
  <c r="K8" i="2"/>
  <c r="K9" i="2"/>
  <c r="K10" i="2"/>
  <c r="K12" i="2"/>
  <c r="K11" i="2"/>
  <c r="L7" i="2"/>
  <c r="D21" i="200"/>
  <c r="C21" i="200"/>
  <c r="E21" i="200"/>
  <c r="I21" i="2" l="1"/>
  <c r="U23" i="4451"/>
  <c r="T23" i="4451"/>
  <c r="I23" i="4451"/>
  <c r="H23" i="4451"/>
  <c r="G23" i="4451"/>
  <c r="F23" i="4451"/>
  <c r="E23" i="4451"/>
  <c r="D23" i="4451"/>
  <c r="C23" i="4451"/>
  <c r="B23" i="4451"/>
  <c r="Q22" i="4451"/>
  <c r="P22" i="4451"/>
  <c r="O22" i="4451"/>
  <c r="N22" i="4451"/>
  <c r="M22" i="4451"/>
  <c r="L22" i="4451"/>
  <c r="K22" i="4451"/>
  <c r="J22" i="4451"/>
  <c r="R22" i="4451" s="1"/>
  <c r="Q21" i="4451"/>
  <c r="P21" i="4451"/>
  <c r="O21" i="4451"/>
  <c r="N21" i="4451"/>
  <c r="M21" i="4451"/>
  <c r="L21" i="4451"/>
  <c r="K21" i="4451"/>
  <c r="S21" i="4451" s="1"/>
  <c r="J21" i="4451"/>
  <c r="R21" i="4451" s="1"/>
  <c r="Q20" i="4451"/>
  <c r="P20" i="4451"/>
  <c r="O20" i="4451"/>
  <c r="N20" i="4451"/>
  <c r="M20" i="4451"/>
  <c r="L20" i="4451"/>
  <c r="K20" i="4451"/>
  <c r="S20" i="4451" s="1"/>
  <c r="J20" i="4451"/>
  <c r="R20" i="4451" s="1"/>
  <c r="Q19" i="4451"/>
  <c r="P19" i="4451"/>
  <c r="O19" i="4451"/>
  <c r="N19" i="4451"/>
  <c r="M19" i="4451"/>
  <c r="L19" i="4451"/>
  <c r="K19" i="4451"/>
  <c r="J19" i="4451"/>
  <c r="R19" i="4451" s="1"/>
  <c r="Q18" i="4451"/>
  <c r="P18" i="4451"/>
  <c r="O18" i="4451"/>
  <c r="N18" i="4451"/>
  <c r="L18" i="4451"/>
  <c r="K18" i="4451"/>
  <c r="J18" i="4451"/>
  <c r="Q17" i="4451"/>
  <c r="P17" i="4451"/>
  <c r="O17" i="4451"/>
  <c r="N17" i="4451"/>
  <c r="M17" i="4451"/>
  <c r="L17" i="4451"/>
  <c r="K17" i="4451"/>
  <c r="J17" i="4451"/>
  <c r="R17" i="4451" s="1"/>
  <c r="Q16" i="4451"/>
  <c r="P16" i="4451"/>
  <c r="O16" i="4451"/>
  <c r="N16" i="4451"/>
  <c r="M16" i="4451"/>
  <c r="L16" i="4451"/>
  <c r="K16" i="4451"/>
  <c r="J16" i="4451"/>
  <c r="C15" i="4451"/>
  <c r="B15" i="4451"/>
  <c r="Q11" i="4451"/>
  <c r="P11" i="4451"/>
  <c r="O11" i="4451"/>
  <c r="N11" i="4451"/>
  <c r="M11" i="4451"/>
  <c r="L11" i="4451"/>
  <c r="K11" i="4451"/>
  <c r="J11" i="4451"/>
  <c r="I11" i="4451"/>
  <c r="H11" i="4451"/>
  <c r="G11" i="4451"/>
  <c r="F11" i="4451"/>
  <c r="E11" i="4451"/>
  <c r="D11" i="4451"/>
  <c r="C11" i="4451"/>
  <c r="B11" i="4451"/>
  <c r="E3" i="4451"/>
  <c r="E15" i="4451" s="1"/>
  <c r="D3" i="4451"/>
  <c r="D15" i="4451" s="1"/>
  <c r="L16" i="4443"/>
  <c r="I16" i="4443"/>
  <c r="F16" i="4443"/>
  <c r="J23" i="4451" l="1"/>
  <c r="L23" i="4451"/>
  <c r="P23" i="4451"/>
  <c r="N23" i="4451"/>
  <c r="R18" i="4451"/>
  <c r="M23" i="4451"/>
  <c r="Q23" i="4451"/>
  <c r="O23" i="4451"/>
  <c r="S18" i="4451"/>
  <c r="S17" i="4451"/>
  <c r="K23" i="4451"/>
  <c r="S19" i="4451"/>
  <c r="S22" i="4451"/>
  <c r="G3" i="4451"/>
  <c r="S16" i="4451"/>
  <c r="F3" i="4451"/>
  <c r="R16" i="4451"/>
  <c r="R23" i="4451" s="1"/>
  <c r="S23" i="4451" l="1"/>
  <c r="F15" i="4451"/>
  <c r="H15" i="4451" s="1"/>
  <c r="H3" i="4451"/>
  <c r="J3" i="4451" s="1"/>
  <c r="L3" i="4451" s="1"/>
  <c r="G15" i="4451"/>
  <c r="I15" i="4451" s="1"/>
  <c r="I3" i="4451"/>
  <c r="K3" i="4451" s="1"/>
  <c r="M3" i="4451" s="1"/>
  <c r="C19" i="4444"/>
  <c r="K15" i="4451" l="1"/>
  <c r="O3" i="4451"/>
  <c r="J15" i="4451"/>
  <c r="N3" i="4451"/>
  <c r="C8" i="4445"/>
  <c r="O8" i="4445"/>
  <c r="I8" i="4445"/>
  <c r="G8" i="4445"/>
  <c r="E8" i="4445"/>
  <c r="K8" i="4445"/>
  <c r="M8" i="4445"/>
  <c r="F18" i="4444"/>
  <c r="G18" i="4444" s="1"/>
  <c r="I18" i="4444"/>
  <c r="J18" i="4444" s="1"/>
  <c r="D19" i="4444"/>
  <c r="F19" i="4444"/>
  <c r="G19" i="4444" s="1"/>
  <c r="I19" i="4444"/>
  <c r="J19" i="4444" s="1"/>
  <c r="F20" i="4444"/>
  <c r="G20" i="4444" s="1"/>
  <c r="I20" i="4444"/>
  <c r="J20" i="4444" s="1"/>
  <c r="L15" i="4451" l="1"/>
  <c r="P3" i="4451"/>
  <c r="N15" i="4451" s="1"/>
  <c r="P15" i="4451" s="1"/>
  <c r="R15" i="4451" s="1"/>
  <c r="T15" i="4451" s="1"/>
  <c r="M15" i="4451"/>
  <c r="Q3" i="4451"/>
  <c r="O15" i="4451" s="1"/>
  <c r="Q15" i="4451" s="1"/>
  <c r="S15" i="4451" s="1"/>
  <c r="U15" i="4451" s="1"/>
  <c r="F10" i="200"/>
  <c r="F11" i="200"/>
  <c r="L36" i="2"/>
  <c r="L37" i="2"/>
  <c r="L38" i="2"/>
  <c r="L34" i="2"/>
  <c r="H4" i="2"/>
  <c r="H5" i="2"/>
  <c r="H7" i="2"/>
  <c r="N7" i="2" s="1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G32" i="2"/>
  <c r="F32" i="2"/>
  <c r="G21" i="2"/>
  <c r="F21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D21" i="2"/>
  <c r="C21" i="2"/>
  <c r="O7" i="4445" l="1"/>
  <c r="K7" i="4445"/>
  <c r="I7" i="4445"/>
  <c r="G7" i="4445"/>
  <c r="C7" i="4445"/>
  <c r="E7" i="4445"/>
  <c r="M7" i="4445"/>
  <c r="I6" i="4445" l="1"/>
  <c r="C6" i="4445"/>
  <c r="E6" i="4445"/>
  <c r="K6" i="4445"/>
  <c r="O6" i="4445"/>
  <c r="G6" i="4445"/>
  <c r="M6" i="4445"/>
  <c r="O5" i="4445"/>
  <c r="I5" i="4445"/>
  <c r="G5" i="4445"/>
  <c r="E5" i="4445"/>
  <c r="C5" i="4445"/>
  <c r="K5" i="4445"/>
  <c r="M5" i="4445"/>
  <c r="O4" i="4445"/>
  <c r="C4" i="4445"/>
  <c r="C16" i="4445" s="1"/>
  <c r="K4" i="4445"/>
  <c r="I4" i="4445"/>
  <c r="I16" i="4445" s="1"/>
  <c r="G4" i="4445"/>
  <c r="G16" i="4445" s="1"/>
  <c r="E4" i="4445"/>
  <c r="E16" i="4445" s="1"/>
  <c r="M4" i="4445"/>
  <c r="M16" i="4445" s="1"/>
  <c r="O16" i="4445" l="1"/>
  <c r="K16" i="4445"/>
  <c r="K4" i="2"/>
  <c r="K5" i="2"/>
  <c r="K13" i="2"/>
  <c r="K14" i="2"/>
  <c r="K15" i="2"/>
  <c r="K16" i="2"/>
  <c r="K17" i="2"/>
  <c r="K18" i="2"/>
  <c r="K19" i="2"/>
  <c r="K22" i="2"/>
  <c r="K23" i="2"/>
  <c r="K24" i="2"/>
  <c r="K25" i="2"/>
  <c r="K26" i="2"/>
  <c r="K27" i="2"/>
  <c r="K28" i="2"/>
  <c r="K29" i="2"/>
  <c r="K30" i="2"/>
  <c r="K31" i="2"/>
  <c r="K34" i="2"/>
  <c r="K35" i="2"/>
  <c r="K36" i="2"/>
  <c r="K37" i="2"/>
  <c r="K38" i="2"/>
  <c r="K39" i="2"/>
  <c r="K40" i="2"/>
  <c r="L10" i="2"/>
  <c r="L12" i="2"/>
  <c r="L13" i="2"/>
  <c r="L14" i="2"/>
  <c r="L16" i="2"/>
  <c r="L18" i="2"/>
  <c r="E23" i="2"/>
  <c r="E24" i="2"/>
  <c r="E25" i="2"/>
  <c r="E26" i="2"/>
  <c r="E6" i="4440" l="1"/>
  <c r="C6" i="4440"/>
  <c r="E23" i="200"/>
  <c r="E8" i="3"/>
  <c r="C8" i="3"/>
  <c r="J41" i="2"/>
  <c r="I41" i="2"/>
  <c r="I32" i="2"/>
  <c r="K3" i="2"/>
  <c r="D41" i="2"/>
  <c r="C41" i="2"/>
  <c r="E40" i="2"/>
  <c r="E39" i="2"/>
  <c r="E38" i="2"/>
  <c r="E37" i="2"/>
  <c r="E36" i="2"/>
  <c r="E35" i="2"/>
  <c r="E34" i="2"/>
  <c r="E31" i="2"/>
  <c r="E30" i="2"/>
  <c r="E29" i="2"/>
  <c r="E28" i="2"/>
  <c r="E27" i="2"/>
  <c r="E5" i="2"/>
  <c r="E4" i="2"/>
  <c r="E3" i="2"/>
  <c r="S23" i="4450"/>
  <c r="R23" i="4450"/>
  <c r="G23" i="4450"/>
  <c r="F23" i="4450"/>
  <c r="E23" i="4450"/>
  <c r="D23" i="4450"/>
  <c r="C23" i="4450"/>
  <c r="B23" i="4450"/>
  <c r="Q22" i="4450"/>
  <c r="P22" i="4450"/>
  <c r="Q21" i="4450"/>
  <c r="P21" i="4450"/>
  <c r="Q20" i="4450"/>
  <c r="P20" i="4450"/>
  <c r="Q19" i="4450"/>
  <c r="P19" i="4450"/>
  <c r="Q18" i="4450"/>
  <c r="P18" i="4450"/>
  <c r="Q17" i="4450"/>
  <c r="P17" i="4450"/>
  <c r="O23" i="4450"/>
  <c r="N23" i="4450"/>
  <c r="M23" i="4450"/>
  <c r="L23" i="4450"/>
  <c r="K23" i="4450"/>
  <c r="J23" i="4450"/>
  <c r="I23" i="4450"/>
  <c r="H23" i="4450"/>
  <c r="C15" i="4450"/>
  <c r="B15" i="4450"/>
  <c r="Q11" i="4450"/>
  <c r="P11" i="4450"/>
  <c r="O11" i="4450"/>
  <c r="N11" i="4450"/>
  <c r="M11" i="4450"/>
  <c r="L11" i="4450"/>
  <c r="K11" i="4450"/>
  <c r="J11" i="4450"/>
  <c r="I11" i="4450"/>
  <c r="H11" i="4450"/>
  <c r="G11" i="4450"/>
  <c r="F11" i="4450"/>
  <c r="E11" i="4450"/>
  <c r="D11" i="4450"/>
  <c r="C11" i="4450"/>
  <c r="B11" i="4450"/>
  <c r="E3" i="4450"/>
  <c r="E15" i="4450" s="1"/>
  <c r="D3" i="4450"/>
  <c r="D15" i="4450" s="1"/>
  <c r="K21" i="1"/>
  <c r="K20" i="1"/>
  <c r="K19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J3" i="1"/>
  <c r="J22" i="1" s="1"/>
  <c r="J25" i="1" s="1"/>
  <c r="I3" i="1"/>
  <c r="I22" i="1" s="1"/>
  <c r="E21" i="1"/>
  <c r="E20" i="1"/>
  <c r="E19" i="1"/>
  <c r="E16" i="1"/>
  <c r="E15" i="1"/>
  <c r="E14" i="1"/>
  <c r="E13" i="1"/>
  <c r="E12" i="1"/>
  <c r="E11" i="1"/>
  <c r="E10" i="1"/>
  <c r="E9" i="1"/>
  <c r="E8" i="1"/>
  <c r="E7" i="1"/>
  <c r="E6" i="1"/>
  <c r="E5" i="1"/>
  <c r="C22" i="1"/>
  <c r="D22" i="1"/>
  <c r="K33" i="4443"/>
  <c r="J33" i="4443"/>
  <c r="H33" i="4443"/>
  <c r="G33" i="4443"/>
  <c r="E33" i="4443"/>
  <c r="D33" i="4443"/>
  <c r="K30" i="4443"/>
  <c r="J30" i="4443"/>
  <c r="H30" i="4443"/>
  <c r="G30" i="4443"/>
  <c r="G35" i="4443" s="1"/>
  <c r="E30" i="4443"/>
  <c r="D30" i="4443"/>
  <c r="L28" i="4443"/>
  <c r="I28" i="4443"/>
  <c r="F28" i="4443"/>
  <c r="L27" i="4443"/>
  <c r="I27" i="4443"/>
  <c r="F27" i="4443"/>
  <c r="L26" i="4443"/>
  <c r="I26" i="4443"/>
  <c r="F26" i="4443"/>
  <c r="L25" i="4443"/>
  <c r="I25" i="4443"/>
  <c r="F25" i="4443"/>
  <c r="L23" i="4443"/>
  <c r="I23" i="4443"/>
  <c r="F23" i="4443"/>
  <c r="L21" i="4443"/>
  <c r="I21" i="4443"/>
  <c r="F21" i="4443"/>
  <c r="L19" i="4443"/>
  <c r="I19" i="4443"/>
  <c r="F19" i="4443"/>
  <c r="L18" i="4443"/>
  <c r="I18" i="4443"/>
  <c r="F18" i="4443"/>
  <c r="L17" i="4443"/>
  <c r="I17" i="4443"/>
  <c r="F17" i="4443"/>
  <c r="L15" i="4443"/>
  <c r="I15" i="4443"/>
  <c r="F15" i="4443"/>
  <c r="L13" i="4443"/>
  <c r="I13" i="4443"/>
  <c r="F13" i="4443"/>
  <c r="L12" i="4443"/>
  <c r="I12" i="4443"/>
  <c r="F12" i="4443"/>
  <c r="L9" i="4443"/>
  <c r="I9" i="4443"/>
  <c r="F9" i="4443"/>
  <c r="L8" i="4443"/>
  <c r="I8" i="4443"/>
  <c r="F8" i="4443"/>
  <c r="K33" i="4442"/>
  <c r="J33" i="4442"/>
  <c r="H33" i="4442"/>
  <c r="G33" i="4442"/>
  <c r="E33" i="4442"/>
  <c r="D33" i="4442"/>
  <c r="L32" i="4442"/>
  <c r="I32" i="4442"/>
  <c r="F32" i="4442"/>
  <c r="K30" i="4442"/>
  <c r="K35" i="4442" s="1"/>
  <c r="J30" i="4442"/>
  <c r="H30" i="4442"/>
  <c r="G30" i="4442"/>
  <c r="E30" i="4442"/>
  <c r="E35" i="4442" s="1"/>
  <c r="D30" i="4442"/>
  <c r="L26" i="4442"/>
  <c r="I26" i="4442"/>
  <c r="F26" i="4442"/>
  <c r="L25" i="4442"/>
  <c r="I25" i="4442"/>
  <c r="F25" i="4442"/>
  <c r="L24" i="4442"/>
  <c r="I24" i="4442"/>
  <c r="F24" i="4442"/>
  <c r="L23" i="4442"/>
  <c r="I23" i="4442"/>
  <c r="F23" i="4442"/>
  <c r="L22" i="4442"/>
  <c r="I22" i="4442"/>
  <c r="F22" i="4442"/>
  <c r="L21" i="4442"/>
  <c r="I21" i="4442"/>
  <c r="F21" i="4442"/>
  <c r="L20" i="4442"/>
  <c r="I20" i="4442"/>
  <c r="F20" i="4442"/>
  <c r="L19" i="4442"/>
  <c r="I19" i="4442"/>
  <c r="F19" i="4442"/>
  <c r="L18" i="4442"/>
  <c r="I18" i="4442"/>
  <c r="F18" i="4442"/>
  <c r="L16" i="4442"/>
  <c r="I16" i="4442"/>
  <c r="F16" i="4442"/>
  <c r="L15" i="4442"/>
  <c r="I15" i="4442"/>
  <c r="F15" i="4442"/>
  <c r="L14" i="4442"/>
  <c r="I14" i="4442"/>
  <c r="F14" i="4442"/>
  <c r="L13" i="4442"/>
  <c r="I13" i="4442"/>
  <c r="F13" i="4442"/>
  <c r="L12" i="4442"/>
  <c r="I12" i="4442"/>
  <c r="F12" i="4442"/>
  <c r="L11" i="4442"/>
  <c r="I11" i="4442"/>
  <c r="F11" i="4442"/>
  <c r="L10" i="4442"/>
  <c r="I10" i="4442"/>
  <c r="F10" i="4442"/>
  <c r="L9" i="4442"/>
  <c r="I9" i="4442"/>
  <c r="F9" i="4442"/>
  <c r="L8" i="4442"/>
  <c r="I8" i="4442"/>
  <c r="F8" i="4442"/>
  <c r="L7" i="4442"/>
  <c r="I7" i="4442"/>
  <c r="F7" i="4442"/>
  <c r="L6" i="4442"/>
  <c r="I6" i="4442"/>
  <c r="F6" i="4442"/>
  <c r="L5" i="4442"/>
  <c r="I5" i="4442"/>
  <c r="F5" i="4442"/>
  <c r="L4" i="4442"/>
  <c r="I4" i="4442"/>
  <c r="F4" i="4442"/>
  <c r="H10" i="1"/>
  <c r="N10" i="1" s="1"/>
  <c r="L10" i="1"/>
  <c r="D35" i="4443" l="1"/>
  <c r="J35" i="4443"/>
  <c r="G35" i="4442"/>
  <c r="E35" i="4443"/>
  <c r="K35" i="4443"/>
  <c r="D35" i="4442"/>
  <c r="J35" i="4442"/>
  <c r="L35" i="4442" s="1"/>
  <c r="E21" i="2"/>
  <c r="L35" i="4443"/>
  <c r="D25" i="1"/>
  <c r="L33" i="4443"/>
  <c r="C23" i="200"/>
  <c r="F35" i="4443"/>
  <c r="K41" i="2"/>
  <c r="D33" i="2"/>
  <c r="D42" i="2" s="1"/>
  <c r="I33" i="2"/>
  <c r="E41" i="2"/>
  <c r="C33" i="2"/>
  <c r="C42" i="2" s="1"/>
  <c r="I30" i="4443"/>
  <c r="I33" i="4443"/>
  <c r="F33" i="4443"/>
  <c r="I30" i="4442"/>
  <c r="F35" i="4442"/>
  <c r="E22" i="2"/>
  <c r="E32" i="2" s="1"/>
  <c r="G3" i="4450"/>
  <c r="Q16" i="4450"/>
  <c r="Q23" i="4450" s="1"/>
  <c r="F3" i="4450"/>
  <c r="P16" i="4450"/>
  <c r="P23" i="4450" s="1"/>
  <c r="K22" i="1"/>
  <c r="K25" i="1" s="1"/>
  <c r="I25" i="1"/>
  <c r="K3" i="1"/>
  <c r="E3" i="1"/>
  <c r="E4" i="1"/>
  <c r="F30" i="4443"/>
  <c r="L30" i="4443"/>
  <c r="H35" i="4443"/>
  <c r="I35" i="4443" s="1"/>
  <c r="F30" i="4442"/>
  <c r="L30" i="4442"/>
  <c r="H35" i="4442"/>
  <c r="E11" i="4446"/>
  <c r="E12" i="4446"/>
  <c r="E13" i="4446"/>
  <c r="H24" i="2"/>
  <c r="N24" i="2" s="1"/>
  <c r="L24" i="2"/>
  <c r="K28" i="4441"/>
  <c r="K27" i="4441"/>
  <c r="K26" i="4441"/>
  <c r="K25" i="4441"/>
  <c r="K24" i="4441"/>
  <c r="K23" i="4441"/>
  <c r="K22" i="4441"/>
  <c r="K21" i="4441"/>
  <c r="K20" i="4441"/>
  <c r="K19" i="4441"/>
  <c r="K18" i="4441"/>
  <c r="K17" i="4441"/>
  <c r="K16" i="4441"/>
  <c r="K15" i="4441"/>
  <c r="K14" i="4441"/>
  <c r="K13" i="4441"/>
  <c r="K12" i="4441"/>
  <c r="K11" i="4441"/>
  <c r="K10" i="4441"/>
  <c r="K9" i="4441"/>
  <c r="K8" i="4441"/>
  <c r="K7" i="4441"/>
  <c r="K6" i="4441"/>
  <c r="K5" i="4441"/>
  <c r="K4" i="4441"/>
  <c r="H28" i="4441"/>
  <c r="H27" i="4441"/>
  <c r="H26" i="4441"/>
  <c r="H25" i="4441"/>
  <c r="H24" i="4441"/>
  <c r="H23" i="4441"/>
  <c r="H22" i="4441"/>
  <c r="H21" i="4441"/>
  <c r="H20" i="4441"/>
  <c r="H19" i="4441"/>
  <c r="H18" i="4441"/>
  <c r="H17" i="4441"/>
  <c r="H16" i="4441"/>
  <c r="H15" i="4441"/>
  <c r="H14" i="4441"/>
  <c r="H13" i="4441"/>
  <c r="H12" i="4441"/>
  <c r="H11" i="4441"/>
  <c r="H10" i="4441"/>
  <c r="H9" i="4441"/>
  <c r="H8" i="4441"/>
  <c r="H7" i="4441"/>
  <c r="H6" i="4441"/>
  <c r="H5" i="4441"/>
  <c r="H4" i="4441"/>
  <c r="E5" i="4441"/>
  <c r="E6" i="4441"/>
  <c r="E7" i="4441"/>
  <c r="E8" i="4441"/>
  <c r="E9" i="4441"/>
  <c r="E10" i="4441"/>
  <c r="E11" i="4441"/>
  <c r="E12" i="4441"/>
  <c r="E13" i="4441"/>
  <c r="E14" i="4441"/>
  <c r="E15" i="4441"/>
  <c r="E16" i="4441"/>
  <c r="E17" i="4441"/>
  <c r="E18" i="4441"/>
  <c r="E19" i="4441"/>
  <c r="E20" i="4441"/>
  <c r="E21" i="4441"/>
  <c r="E22" i="4441"/>
  <c r="E23" i="4441"/>
  <c r="E24" i="4441"/>
  <c r="E25" i="4441"/>
  <c r="E26" i="4441"/>
  <c r="E27" i="4441"/>
  <c r="E28" i="4441"/>
  <c r="I35" i="4442" l="1"/>
  <c r="I42" i="2"/>
  <c r="E33" i="2"/>
  <c r="E42" i="2" s="1"/>
  <c r="F15" i="4450"/>
  <c r="H3" i="4450"/>
  <c r="J3" i="4450" s="1"/>
  <c r="L3" i="4450" s="1"/>
  <c r="G15" i="4450"/>
  <c r="I3" i="4450"/>
  <c r="K3" i="4450" s="1"/>
  <c r="M3" i="4450" s="1"/>
  <c r="E22" i="1"/>
  <c r="E25" i="1" s="1"/>
  <c r="C25" i="1"/>
  <c r="I15" i="4450" l="1"/>
  <c r="O3" i="4450"/>
  <c r="H15" i="4450"/>
  <c r="N3" i="4450"/>
  <c r="E10" i="4446"/>
  <c r="E9" i="4446"/>
  <c r="E8" i="4446"/>
  <c r="E7" i="4446"/>
  <c r="E6" i="4446"/>
  <c r="E5" i="4446"/>
  <c r="I25" i="4444"/>
  <c r="J25" i="4444" s="1"/>
  <c r="F25" i="4444"/>
  <c r="G25" i="4444" s="1"/>
  <c r="C25" i="4444"/>
  <c r="D25" i="4444" s="1"/>
  <c r="J15" i="4450" l="1"/>
  <c r="P3" i="4450"/>
  <c r="L15" i="4450" s="1"/>
  <c r="N15" i="4450" s="1"/>
  <c r="P15" i="4450" s="1"/>
  <c r="R15" i="4450" s="1"/>
  <c r="K15" i="4450"/>
  <c r="Q3" i="4450"/>
  <c r="M15" i="4450" s="1"/>
  <c r="O15" i="4450" s="1"/>
  <c r="Q15" i="4450" s="1"/>
  <c r="S15" i="4450" s="1"/>
  <c r="L5" i="2"/>
  <c r="N5" i="2"/>
  <c r="F22" i="1"/>
  <c r="N10" i="2" l="1"/>
  <c r="K32" i="4441"/>
  <c r="J32" i="4441"/>
  <c r="H32" i="4441"/>
  <c r="G32" i="4441"/>
  <c r="E32" i="4441"/>
  <c r="D32" i="4441"/>
  <c r="I32" i="4441" l="1"/>
  <c r="F32" i="4441"/>
  <c r="L32" i="4441"/>
  <c r="F17" i="4446" l="1"/>
  <c r="D17" i="4446"/>
  <c r="C17" i="4446"/>
  <c r="B17" i="4446"/>
  <c r="G13" i="4446"/>
  <c r="G12" i="4446"/>
  <c r="G11" i="4446"/>
  <c r="G10" i="4446"/>
  <c r="G9" i="4446"/>
  <c r="G8" i="4446"/>
  <c r="G7" i="4446"/>
  <c r="G6" i="4446"/>
  <c r="G5" i="4446"/>
  <c r="E4" i="4446"/>
  <c r="G4" i="4446" s="1"/>
  <c r="E3" i="4446"/>
  <c r="Q8" i="4445"/>
  <c r="P8" i="4445"/>
  <c r="Q7" i="4445"/>
  <c r="P7" i="4445"/>
  <c r="Q6" i="4445"/>
  <c r="P6" i="4445"/>
  <c r="P5" i="4445"/>
  <c r="I40" i="4444"/>
  <c r="J40" i="4444" s="1"/>
  <c r="F40" i="4444"/>
  <c r="G40" i="4444" s="1"/>
  <c r="C40" i="4444"/>
  <c r="D40" i="4444" s="1"/>
  <c r="I38" i="4444"/>
  <c r="J38" i="4444" s="1"/>
  <c r="F38" i="4444"/>
  <c r="G38" i="4444" s="1"/>
  <c r="C38" i="4444"/>
  <c r="D38" i="4444" s="1"/>
  <c r="H34" i="4444"/>
  <c r="E34" i="4444"/>
  <c r="B34" i="4444"/>
  <c r="I33" i="4444"/>
  <c r="J33" i="4444" s="1"/>
  <c r="F33" i="4444"/>
  <c r="G33" i="4444" s="1"/>
  <c r="C33" i="4444"/>
  <c r="D33" i="4444" s="1"/>
  <c r="I32" i="4444"/>
  <c r="J32" i="4444" s="1"/>
  <c r="F32" i="4444"/>
  <c r="G32" i="4444" s="1"/>
  <c r="C32" i="4444"/>
  <c r="D32" i="4444" s="1"/>
  <c r="I31" i="4444"/>
  <c r="J31" i="4444" s="1"/>
  <c r="F31" i="4444"/>
  <c r="G31" i="4444" s="1"/>
  <c r="C31" i="4444"/>
  <c r="D31" i="4444" s="1"/>
  <c r="I30" i="4444"/>
  <c r="J30" i="4444" s="1"/>
  <c r="F30" i="4444"/>
  <c r="G30" i="4444" s="1"/>
  <c r="C30" i="4444"/>
  <c r="D30" i="4444" s="1"/>
  <c r="I29" i="4444"/>
  <c r="J29" i="4444" s="1"/>
  <c r="F29" i="4444"/>
  <c r="G29" i="4444" s="1"/>
  <c r="C29" i="4444"/>
  <c r="D29" i="4444" s="1"/>
  <c r="I28" i="4444"/>
  <c r="J28" i="4444" s="1"/>
  <c r="F28" i="4444"/>
  <c r="G28" i="4444" s="1"/>
  <c r="C28" i="4444"/>
  <c r="D28" i="4444" s="1"/>
  <c r="I27" i="4444"/>
  <c r="J27" i="4444" s="1"/>
  <c r="F27" i="4444"/>
  <c r="G27" i="4444" s="1"/>
  <c r="C27" i="4444"/>
  <c r="D27" i="4444" s="1"/>
  <c r="I26" i="4444"/>
  <c r="J26" i="4444" s="1"/>
  <c r="F26" i="4444"/>
  <c r="G26" i="4444" s="1"/>
  <c r="C26" i="4444"/>
  <c r="D26" i="4444" s="1"/>
  <c r="I24" i="4444"/>
  <c r="F24" i="4444"/>
  <c r="C24" i="4444"/>
  <c r="H22" i="4444"/>
  <c r="H36" i="4444" s="1"/>
  <c r="E22" i="4444"/>
  <c r="B22" i="4444"/>
  <c r="I21" i="4444"/>
  <c r="J21" i="4444" s="1"/>
  <c r="F21" i="4444"/>
  <c r="G21" i="4444" s="1"/>
  <c r="C21" i="4444"/>
  <c r="D21" i="4444" s="1"/>
  <c r="C20" i="4444"/>
  <c r="D20" i="4444" s="1"/>
  <c r="C18" i="4444"/>
  <c r="D18" i="4444" s="1"/>
  <c r="I17" i="4444"/>
  <c r="J17" i="4444" s="1"/>
  <c r="F17" i="4444"/>
  <c r="G17" i="4444" s="1"/>
  <c r="C17" i="4444"/>
  <c r="D17" i="4444" s="1"/>
  <c r="I16" i="4444"/>
  <c r="J16" i="4444" s="1"/>
  <c r="F16" i="4444"/>
  <c r="G16" i="4444" s="1"/>
  <c r="C16" i="4444"/>
  <c r="D16" i="4444" s="1"/>
  <c r="I15" i="4444"/>
  <c r="J15" i="4444" s="1"/>
  <c r="F15" i="4444"/>
  <c r="G15" i="4444" s="1"/>
  <c r="C15" i="4444"/>
  <c r="D15" i="4444" s="1"/>
  <c r="I14" i="4444"/>
  <c r="J14" i="4444" s="1"/>
  <c r="F14" i="4444"/>
  <c r="G14" i="4444" s="1"/>
  <c r="C14" i="4444"/>
  <c r="D14" i="4444" s="1"/>
  <c r="I13" i="4444"/>
  <c r="J13" i="4444" s="1"/>
  <c r="F13" i="4444"/>
  <c r="G13" i="4444" s="1"/>
  <c r="C13" i="4444"/>
  <c r="D13" i="4444" s="1"/>
  <c r="I12" i="4444"/>
  <c r="J12" i="4444" s="1"/>
  <c r="F12" i="4444"/>
  <c r="G12" i="4444" s="1"/>
  <c r="C12" i="4444"/>
  <c r="D12" i="4444" s="1"/>
  <c r="I11" i="4444"/>
  <c r="J11" i="4444" s="1"/>
  <c r="F11" i="4444"/>
  <c r="G11" i="4444" s="1"/>
  <c r="C11" i="4444"/>
  <c r="D11" i="4444" s="1"/>
  <c r="I10" i="4444"/>
  <c r="J10" i="4444" s="1"/>
  <c r="F10" i="4444"/>
  <c r="G10" i="4444" s="1"/>
  <c r="C10" i="4444"/>
  <c r="D10" i="4444" s="1"/>
  <c r="I9" i="4444"/>
  <c r="J9" i="4444" s="1"/>
  <c r="F9" i="4444"/>
  <c r="G9" i="4444" s="1"/>
  <c r="C9" i="4444"/>
  <c r="D9" i="4444" s="1"/>
  <c r="I8" i="4444"/>
  <c r="J8" i="4444" s="1"/>
  <c r="F8" i="4444"/>
  <c r="G8" i="4444" s="1"/>
  <c r="C8" i="4444"/>
  <c r="D8" i="4444" s="1"/>
  <c r="I7" i="4444"/>
  <c r="J7" i="4444" s="1"/>
  <c r="F7" i="4444"/>
  <c r="G7" i="4444" s="1"/>
  <c r="C7" i="4444"/>
  <c r="D7" i="4444" s="1"/>
  <c r="I6" i="4444"/>
  <c r="J6" i="4444" s="1"/>
  <c r="F6" i="4444"/>
  <c r="G6" i="4444" s="1"/>
  <c r="C6" i="4444"/>
  <c r="D6" i="4444" s="1"/>
  <c r="I5" i="4444"/>
  <c r="J5" i="4444" s="1"/>
  <c r="F5" i="4444"/>
  <c r="G5" i="4444" s="1"/>
  <c r="C5" i="4444"/>
  <c r="D5" i="4444" s="1"/>
  <c r="I4" i="4444"/>
  <c r="J4" i="4444" s="1"/>
  <c r="F4" i="4444"/>
  <c r="G4" i="4444" s="1"/>
  <c r="C4" i="4444"/>
  <c r="D4" i="4444" s="1"/>
  <c r="I3" i="4444"/>
  <c r="J3" i="4444" s="1"/>
  <c r="F3" i="4444"/>
  <c r="C3" i="4444"/>
  <c r="J28" i="4441"/>
  <c r="D28" i="4441"/>
  <c r="J26" i="4441"/>
  <c r="G26" i="4441"/>
  <c r="J25" i="4441"/>
  <c r="G25" i="4441"/>
  <c r="F25" i="4441"/>
  <c r="J24" i="4441"/>
  <c r="G24" i="4441"/>
  <c r="F24" i="4441"/>
  <c r="J23" i="4441"/>
  <c r="G23" i="4441"/>
  <c r="F23" i="4441"/>
  <c r="J22" i="4441"/>
  <c r="G22" i="4441"/>
  <c r="F22" i="4441"/>
  <c r="J21" i="4441"/>
  <c r="G21" i="4441"/>
  <c r="J20" i="4441"/>
  <c r="G20" i="4441"/>
  <c r="F20" i="4441"/>
  <c r="J19" i="4441"/>
  <c r="G19" i="4441"/>
  <c r="J18" i="4441"/>
  <c r="G18" i="4441"/>
  <c r="F18" i="4441"/>
  <c r="J17" i="4441"/>
  <c r="G17" i="4441"/>
  <c r="J16" i="4441"/>
  <c r="G16" i="4441"/>
  <c r="J15" i="4441"/>
  <c r="G15" i="4441"/>
  <c r="J14" i="4441"/>
  <c r="G14" i="4441"/>
  <c r="J13" i="4441"/>
  <c r="G13" i="4441"/>
  <c r="J12" i="4441"/>
  <c r="G12" i="4441"/>
  <c r="J11" i="4441"/>
  <c r="G11" i="4441"/>
  <c r="J10" i="4441"/>
  <c r="G10" i="4441"/>
  <c r="J9" i="4441"/>
  <c r="G9" i="4441"/>
  <c r="J8" i="4441"/>
  <c r="G8" i="4441"/>
  <c r="J7" i="4441"/>
  <c r="G7" i="4441"/>
  <c r="J6" i="4441"/>
  <c r="G6" i="4441"/>
  <c r="J5" i="4441"/>
  <c r="G5" i="4441"/>
  <c r="J4" i="4441"/>
  <c r="G4" i="4441"/>
  <c r="E4" i="4441"/>
  <c r="E30" i="4441" s="1"/>
  <c r="E17" i="4446" l="1"/>
  <c r="C34" i="4444"/>
  <c r="D34" i="4444" s="1"/>
  <c r="E36" i="4444"/>
  <c r="B36" i="4444"/>
  <c r="I17" i="4441"/>
  <c r="I24" i="4441"/>
  <c r="L24" i="4441"/>
  <c r="I19" i="4441"/>
  <c r="I21" i="4441"/>
  <c r="I26" i="4441"/>
  <c r="I5" i="4441"/>
  <c r="L6" i="4441"/>
  <c r="L8" i="4441"/>
  <c r="I9" i="4441"/>
  <c r="L23" i="4441"/>
  <c r="L10" i="4441"/>
  <c r="I11" i="4441"/>
  <c r="L12" i="4441"/>
  <c r="I13" i="4441"/>
  <c r="L14" i="4441"/>
  <c r="F16" i="4441"/>
  <c r="L16" i="4441"/>
  <c r="I25" i="4441"/>
  <c r="L25" i="4441"/>
  <c r="L18" i="4441"/>
  <c r="L20" i="4441"/>
  <c r="L22" i="4441"/>
  <c r="F4" i="4441"/>
  <c r="F6" i="4441"/>
  <c r="F8" i="4441"/>
  <c r="F10" i="4441"/>
  <c r="F12" i="4441"/>
  <c r="F14" i="4441"/>
  <c r="I34" i="4444"/>
  <c r="J34" i="4444" s="1"/>
  <c r="C22" i="4444"/>
  <c r="F34" i="4444"/>
  <c r="G34" i="4444" s="1"/>
  <c r="F22" i="4444"/>
  <c r="G22" i="4444" s="1"/>
  <c r="I8" i="4441"/>
  <c r="I14" i="4441"/>
  <c r="G3" i="4446"/>
  <c r="G17" i="4446" s="1"/>
  <c r="I22" i="4444"/>
  <c r="J22" i="4444" s="1"/>
  <c r="D3" i="4444"/>
  <c r="G3" i="4444"/>
  <c r="L5" i="4441"/>
  <c r="I7" i="4441"/>
  <c r="I4" i="4441"/>
  <c r="I10" i="4441"/>
  <c r="I16" i="4441"/>
  <c r="F7" i="4441"/>
  <c r="F9" i="4441"/>
  <c r="F13" i="4441"/>
  <c r="F15" i="4441"/>
  <c r="L7" i="4441"/>
  <c r="L9" i="4441"/>
  <c r="L11" i="4441"/>
  <c r="L13" i="4441"/>
  <c r="L15" i="4441"/>
  <c r="L17" i="4441"/>
  <c r="L19" i="4441"/>
  <c r="L21" i="4441"/>
  <c r="L26" i="4441"/>
  <c r="L4" i="4441"/>
  <c r="I15" i="4441"/>
  <c r="I6" i="4441"/>
  <c r="I12" i="4441"/>
  <c r="I18" i="4441"/>
  <c r="I20" i="4441"/>
  <c r="I22" i="4441"/>
  <c r="I23" i="4441"/>
  <c r="F5" i="4441"/>
  <c r="F11" i="4441"/>
  <c r="F17" i="4441"/>
  <c r="F19" i="4441"/>
  <c r="F21" i="4441"/>
  <c r="F26" i="4441"/>
  <c r="D30" i="4441"/>
  <c r="H30" i="4441"/>
  <c r="J27" i="4441"/>
  <c r="F28" i="4441"/>
  <c r="G28" i="4441"/>
  <c r="I28" i="4441" s="1"/>
  <c r="L28" i="4441"/>
  <c r="D24" i="4444"/>
  <c r="G24" i="4444"/>
  <c r="J24" i="4444"/>
  <c r="P4" i="4445"/>
  <c r="P16" i="4445" s="1"/>
  <c r="Q5" i="4445"/>
  <c r="Q4" i="4445"/>
  <c r="Q16" i="4445" l="1"/>
  <c r="C36" i="4444"/>
  <c r="D36" i="4444" s="1"/>
  <c r="D22" i="4444"/>
  <c r="H3" i="4446"/>
  <c r="H4" i="4446" s="1"/>
  <c r="H5" i="4446" s="1"/>
  <c r="H6" i="4446" s="1"/>
  <c r="H7" i="4446" s="1"/>
  <c r="H8" i="4446" s="1"/>
  <c r="H9" i="4446" s="1"/>
  <c r="H10" i="4446" s="1"/>
  <c r="H11" i="4446" s="1"/>
  <c r="H12" i="4446" s="1"/>
  <c r="H13" i="4446" s="1"/>
  <c r="H14" i="4446" s="1"/>
  <c r="H15" i="4446" s="1"/>
  <c r="H16" i="4446" s="1"/>
  <c r="J33" i="4441"/>
  <c r="J30" i="4441"/>
  <c r="J35" i="4441" s="1"/>
  <c r="D33" i="4441"/>
  <c r="D35" i="4441" s="1"/>
  <c r="F36" i="4444"/>
  <c r="G36" i="4444" s="1"/>
  <c r="I36" i="4444"/>
  <c r="J36" i="4444" s="1"/>
  <c r="K30" i="4441"/>
  <c r="G27" i="4441"/>
  <c r="G30" i="4441" s="1"/>
  <c r="H33" i="4441"/>
  <c r="I27" i="4441" l="1"/>
  <c r="E33" i="4441"/>
  <c r="F33" i="4441" s="1"/>
  <c r="F27" i="4441"/>
  <c r="K33" i="4441"/>
  <c r="L33" i="4441" s="1"/>
  <c r="L27" i="4441"/>
  <c r="H35" i="4441"/>
  <c r="G33" i="4441"/>
  <c r="I33" i="4441" s="1"/>
  <c r="G35" i="4441" l="1"/>
  <c r="I35" i="4441" s="1"/>
  <c r="E35" i="4441"/>
  <c r="F35" i="4441" s="1"/>
  <c r="F30" i="4441"/>
  <c r="I30" i="4441"/>
  <c r="K35" i="4441"/>
  <c r="L35" i="4441" s="1"/>
  <c r="L30" i="4441"/>
  <c r="H34" i="2" l="1"/>
  <c r="N34" i="2" s="1"/>
  <c r="G41" i="2" l="1"/>
  <c r="F41" i="2"/>
  <c r="L9" i="1" l="1"/>
  <c r="H9" i="1"/>
  <c r="N9" i="1" l="1"/>
  <c r="F4" i="4440" l="1"/>
  <c r="F5" i="4440" l="1"/>
  <c r="F3" i="4440"/>
  <c r="F3" i="1"/>
  <c r="H17" i="1"/>
  <c r="G3" i="1"/>
  <c r="N17" i="1" l="1"/>
  <c r="L30" i="2"/>
  <c r="D23" i="200"/>
  <c r="H36" i="2"/>
  <c r="N36" i="2" s="1"/>
  <c r="H37" i="2"/>
  <c r="N37" i="2" s="1"/>
  <c r="H38" i="2"/>
  <c r="N38" i="2" s="1"/>
  <c r="H28" i="2"/>
  <c r="N28" i="2" s="1"/>
  <c r="L25" i="2"/>
  <c r="H25" i="2"/>
  <c r="D6" i="4440"/>
  <c r="F2" i="4440"/>
  <c r="H16" i="1"/>
  <c r="H19" i="1"/>
  <c r="H20" i="1"/>
  <c r="H21" i="1"/>
  <c r="H22" i="2"/>
  <c r="J32" i="2" s="1"/>
  <c r="H27" i="2"/>
  <c r="N27" i="2" s="1"/>
  <c r="H29" i="2"/>
  <c r="H30" i="2"/>
  <c r="H31" i="2"/>
  <c r="H3" i="2"/>
  <c r="N3" i="2" s="1"/>
  <c r="N13" i="2"/>
  <c r="N14" i="2"/>
  <c r="N16" i="2"/>
  <c r="N18" i="2"/>
  <c r="D8" i="3"/>
  <c r="L16" i="1"/>
  <c r="F25" i="1"/>
  <c r="G22" i="1"/>
  <c r="N24" i="1"/>
  <c r="H6" i="1"/>
  <c r="H5" i="1"/>
  <c r="L5" i="1"/>
  <c r="M5" i="1"/>
  <c r="M20" i="1"/>
  <c r="M15" i="1"/>
  <c r="H15" i="1"/>
  <c r="H7" i="1"/>
  <c r="M7" i="1"/>
  <c r="L7" i="1"/>
  <c r="H14" i="1"/>
  <c r="H13" i="1"/>
  <c r="H12" i="1"/>
  <c r="H11" i="1"/>
  <c r="H8" i="1"/>
  <c r="H4" i="1"/>
  <c r="H3" i="1"/>
  <c r="N23" i="1"/>
  <c r="M14" i="1"/>
  <c r="M19" i="1"/>
  <c r="L8" i="1"/>
  <c r="L11" i="1"/>
  <c r="L12" i="1"/>
  <c r="L13" i="1"/>
  <c r="L22" i="2"/>
  <c r="M3" i="2"/>
  <c r="L3" i="2"/>
  <c r="F4" i="3"/>
  <c r="F3" i="3"/>
  <c r="F5" i="3"/>
  <c r="F6" i="3"/>
  <c r="F7" i="3"/>
  <c r="F2" i="3"/>
  <c r="F18" i="200"/>
  <c r="F22" i="200"/>
  <c r="F3" i="200"/>
  <c r="F5" i="200"/>
  <c r="F6" i="200"/>
  <c r="F7" i="200"/>
  <c r="F8" i="200"/>
  <c r="F9" i="200"/>
  <c r="F12" i="200"/>
  <c r="F13" i="200"/>
  <c r="F14" i="200"/>
  <c r="F15" i="200"/>
  <c r="F16" i="200"/>
  <c r="F20" i="200"/>
  <c r="F2" i="200"/>
  <c r="H21" i="2" l="1"/>
  <c r="N12" i="2"/>
  <c r="J21" i="2"/>
  <c r="K21" i="2" s="1"/>
  <c r="K32" i="2"/>
  <c r="J33" i="2"/>
  <c r="H41" i="2"/>
  <c r="N30" i="2"/>
  <c r="F33" i="2"/>
  <c r="F42" i="2" s="1"/>
  <c r="N22" i="2"/>
  <c r="N19" i="1"/>
  <c r="N13" i="1"/>
  <c r="N11" i="1"/>
  <c r="N16" i="1"/>
  <c r="N20" i="1"/>
  <c r="N14" i="1"/>
  <c r="N12" i="1"/>
  <c r="H22" i="1"/>
  <c r="H25" i="1" s="1"/>
  <c r="F6" i="4440"/>
  <c r="G33" i="2"/>
  <c r="N8" i="1"/>
  <c r="G25" i="1"/>
  <c r="N5" i="1"/>
  <c r="F21" i="200"/>
  <c r="F4" i="200"/>
  <c r="M4" i="1"/>
  <c r="M21" i="1"/>
  <c r="N21" i="1"/>
  <c r="F8" i="3"/>
  <c r="N15" i="1"/>
  <c r="H32" i="2"/>
  <c r="L41" i="2"/>
  <c r="L21" i="2"/>
  <c r="L3" i="1"/>
  <c r="L4" i="1"/>
  <c r="N25" i="2"/>
  <c r="M21" i="2" l="1"/>
  <c r="J42" i="2"/>
  <c r="K42" i="2" s="1"/>
  <c r="K33" i="2"/>
  <c r="N32" i="2"/>
  <c r="M33" i="2"/>
  <c r="N4" i="1"/>
  <c r="N7" i="1"/>
  <c r="F23" i="200"/>
  <c r="L32" i="2"/>
  <c r="G42" i="2"/>
  <c r="H33" i="2"/>
  <c r="M3" i="1"/>
  <c r="M22" i="1"/>
  <c r="N21" i="2"/>
  <c r="L22" i="1"/>
  <c r="M42" i="2" l="1"/>
  <c r="L33" i="2"/>
  <c r="L42" i="2"/>
  <c r="N41" i="2"/>
  <c r="L25" i="1"/>
  <c r="N3" i="1"/>
  <c r="H42" i="2"/>
  <c r="N33" i="2"/>
  <c r="M25" i="1" l="1"/>
  <c r="N22" i="1"/>
  <c r="N42" i="2"/>
  <c r="N25" i="1" l="1"/>
</calcChain>
</file>

<file path=xl/sharedStrings.xml><?xml version="1.0" encoding="utf-8"?>
<sst xmlns="http://schemas.openxmlformats.org/spreadsheetml/2006/main" count="899" uniqueCount="571">
  <si>
    <t>Megnevezés</t>
  </si>
  <si>
    <t>OEP</t>
  </si>
  <si>
    <t>Saját</t>
  </si>
  <si>
    <t>Összesen</t>
  </si>
  <si>
    <t>Betegellátás bevételei összesen</t>
  </si>
  <si>
    <t>- Járóbetegellátás</t>
  </si>
  <si>
    <t>- Ügyeleti ellátás</t>
  </si>
  <si>
    <t>- Fogászat</t>
  </si>
  <si>
    <t>- Házi szakápolás</t>
  </si>
  <si>
    <t>- Védőnők</t>
  </si>
  <si>
    <t>- Iskola, ifjúsági egészségügy</t>
  </si>
  <si>
    <t>- Foglalkozás-egészségügy</t>
  </si>
  <si>
    <t>Bérleti díjak bevételei</t>
  </si>
  <si>
    <t>Továbbszámlázott szolgáltatások bevételei</t>
  </si>
  <si>
    <t>Egyéb bevételek (pl. pályázat, stb.)</t>
  </si>
  <si>
    <t>Saját bevételek összesen</t>
  </si>
  <si>
    <t>Önkormányzati támogatás</t>
  </si>
  <si>
    <t>Összes bevétel</t>
  </si>
  <si>
    <t>Teljes és Részmunkaidős</t>
  </si>
  <si>
    <t>További munkaviszony/ Megbízási szerződéses</t>
  </si>
  <si>
    <t>alapbér</t>
  </si>
  <si>
    <t>bérpótlékok</t>
  </si>
  <si>
    <t>keresetkiegészítés</t>
  </si>
  <si>
    <t>prémium keret</t>
  </si>
  <si>
    <t>jutalom</t>
  </si>
  <si>
    <t>jubileumi jutalom</t>
  </si>
  <si>
    <t>továbbképzési hozzájárulás</t>
  </si>
  <si>
    <t>betegszabadság</t>
  </si>
  <si>
    <t>közlekedési költségtérítés</t>
  </si>
  <si>
    <t>Személyi juttatások összesen</t>
  </si>
  <si>
    <t>Szakképzési hozzájárulás</t>
  </si>
  <si>
    <t>Rehabilitációs hozzájárulás</t>
  </si>
  <si>
    <t>Munkáltató által fizetett SZJA</t>
  </si>
  <si>
    <t>- takarítás</t>
  </si>
  <si>
    <t>- szemétszállítás</t>
  </si>
  <si>
    <t>- bérleti díj (Karikás u.-i háziorvosi rendelő)</t>
  </si>
  <si>
    <t>Háziorvosi felnőtt és gyermekügyelet működtetése</t>
  </si>
  <si>
    <t>Közüzemi szolgáltatások igénybevétele (áram, gáz, távhő, víz-csatorna)</t>
  </si>
  <si>
    <t>Postai szolgáltatások</t>
  </si>
  <si>
    <t>Tanfolyamok, továbbképzések költségei</t>
  </si>
  <si>
    <t>Számlázott szellemi tevékenységek (ügyvéd, könyvvizsgáló, stb.)</t>
  </si>
  <si>
    <t>Rendezvények költségei</t>
  </si>
  <si>
    <t>- Labor</t>
  </si>
  <si>
    <t>- Egynapos sebészet</t>
  </si>
  <si>
    <t>végkielégítés, felmentési időre juttatás</t>
  </si>
  <si>
    <t>Közhasznú munkavállalók bérköltsége</t>
  </si>
  <si>
    <t>Személyi jellegű egyéb kifizetések</t>
  </si>
  <si>
    <t>Táppénz hozzájárulás</t>
  </si>
  <si>
    <t>Bérjárulékok összesen</t>
  </si>
  <si>
    <t>Személyi jellegű ráfordítás összesen</t>
  </si>
  <si>
    <t>Egészségügyi szakmai anyagok</t>
  </si>
  <si>
    <t>Gyógyszer felhasználás</t>
  </si>
  <si>
    <t>Irodaszer, nyomtatvány</t>
  </si>
  <si>
    <t>Műszaki anyagok felhasználása</t>
  </si>
  <si>
    <t>Munkaruha, védőruha</t>
  </si>
  <si>
    <t>Egyéb anyagköltség</t>
  </si>
  <si>
    <t>Igénybe veendő egészségügyi szolgáltatások</t>
  </si>
  <si>
    <t>Kommunikációs eszközök működtetése</t>
  </si>
  <si>
    <t>Műszaki, karbantartási, takarítási szolgáltatások</t>
  </si>
  <si>
    <t>Szakkönyv, folyóirat előfizetés</t>
  </si>
  <si>
    <t>Igénybe vett szolgáltatások értéke</t>
  </si>
  <si>
    <t>Eladott (közvetített) szolgáltatások értéke</t>
  </si>
  <si>
    <t>költségek (ráfordítások) ellentételezése (hgy)</t>
  </si>
  <si>
    <t>egyéb ki nem emelt ráfordítások</t>
  </si>
  <si>
    <t>Költségvetéssel elszámolt adók illetékek</t>
  </si>
  <si>
    <t>Bérköltség</t>
  </si>
  <si>
    <t>Anyagköltség</t>
  </si>
  <si>
    <t>- Menedzser szűrés (szűrővizsgálat)</t>
  </si>
  <si>
    <t>reprezentáció, egyéb személyi jellegű kifizetés</t>
  </si>
  <si>
    <t>Egyéb igénybevett szakmai szolgáltatás (pályázat, tender, hirdetés)</t>
  </si>
  <si>
    <t>Egyéb szolgáltatások költségei (gépjármű műszaki, banki ktg, hatósági díj, vagyon és orvos felelőségbiztosítás)</t>
  </si>
  <si>
    <t>túlóra, helyettesítési, készenléti, ügyeleti díj</t>
  </si>
  <si>
    <t>Egynapos sebészeti jutalék</t>
  </si>
  <si>
    <t>- Sportorvos</t>
  </si>
  <si>
    <t>Jogviszony ellenőrzés</t>
  </si>
  <si>
    <t>Rendkívüli bevétel</t>
  </si>
  <si>
    <t>Szociális jellegű juttatások</t>
  </si>
  <si>
    <t>választott tisztségviselők díja (FB, ügyvezető ig.)</t>
  </si>
  <si>
    <t>Tárgyi eszköz értékesítés nettó kivezetés</t>
  </si>
  <si>
    <t>Bérbeadás SZJA</t>
  </si>
  <si>
    <t>Egészségügyi hozzájárulás</t>
  </si>
  <si>
    <t>Össz.</t>
  </si>
  <si>
    <t>-Fogászat (privatizált)</t>
  </si>
  <si>
    <t>cafetéria</t>
  </si>
  <si>
    <t>Informatikai szolgáltatások, rendszerkövetés, bérszámfejtés,könyvelés</t>
  </si>
  <si>
    <t>Reprezentáció</t>
  </si>
  <si>
    <t>Szociális hozzájárulási adó (Nyugdíjbiztosítási járulék)</t>
  </si>
  <si>
    <t>bérkompenzáció közhasznú munkavállalóknak</t>
  </si>
  <si>
    <t>Munkahely</t>
  </si>
  <si>
    <t>Jelentett esetszám</t>
  </si>
  <si>
    <t>Jelentett beavatkozásszám</t>
  </si>
  <si>
    <t>Jelentett pontszám</t>
  </si>
  <si>
    <t>Összesen.</t>
  </si>
  <si>
    <t>Összesen:</t>
  </si>
  <si>
    <t>trend</t>
  </si>
  <si>
    <t>Általános belgyógyászat</t>
  </si>
  <si>
    <t>Belgyógyászat-Diabetológia</t>
  </si>
  <si>
    <t>Gasztroenterológia</t>
  </si>
  <si>
    <t>Kardiológia</t>
  </si>
  <si>
    <t>Sebészet</t>
  </si>
  <si>
    <t>Traumatológia</t>
  </si>
  <si>
    <t>Proktológia</t>
  </si>
  <si>
    <t>Aneszteziológia</t>
  </si>
  <si>
    <t>Nőgyógyászat-terhesgond.</t>
  </si>
  <si>
    <t>Fül-orr - gégészet</t>
  </si>
  <si>
    <t>Audiológia</t>
  </si>
  <si>
    <t>Szemészet</t>
  </si>
  <si>
    <t>Bőrgyógyászat</t>
  </si>
  <si>
    <t>Allergológia</t>
  </si>
  <si>
    <t>Ideggyógyászat</t>
  </si>
  <si>
    <t>Elmegyógyászat</t>
  </si>
  <si>
    <t>Ortopédia</t>
  </si>
  <si>
    <t>Urológia</t>
  </si>
  <si>
    <t>Radiológia</t>
  </si>
  <si>
    <t>Reumatológia</t>
  </si>
  <si>
    <t>Fizikotherapia</t>
  </si>
  <si>
    <t>Gyógytorna</t>
  </si>
  <si>
    <t>Fogászat (alapellátás)</t>
  </si>
  <si>
    <t>Fogászat (szakellátás)</t>
  </si>
  <si>
    <t>Összes szakrendelés</t>
  </si>
  <si>
    <t>Összes labor</t>
  </si>
  <si>
    <t>Összes fogászat</t>
  </si>
  <si>
    <t>összesen:</t>
  </si>
  <si>
    <t>összesen</t>
  </si>
  <si>
    <t>Esetszám</t>
  </si>
  <si>
    <t>Beavatkozások száma</t>
  </si>
  <si>
    <t>Pontszám</t>
  </si>
  <si>
    <t>eset</t>
  </si>
  <si>
    <t>beav</t>
  </si>
  <si>
    <t>pont</t>
  </si>
  <si>
    <t>%</t>
  </si>
  <si>
    <t>tény</t>
  </si>
  <si>
    <t>jel</t>
  </si>
  <si>
    <t>fül-orr-gége</t>
  </si>
  <si>
    <t>nőgyógyászat</t>
  </si>
  <si>
    <t>ortopédia</t>
  </si>
  <si>
    <t>sebészet</t>
  </si>
  <si>
    <t>szemészet</t>
  </si>
  <si>
    <t>urológia</t>
  </si>
  <si>
    <t>Szegedi út összesen</t>
  </si>
  <si>
    <t>Fizikoterápia</t>
  </si>
  <si>
    <t>Fül-orr-gége</t>
  </si>
  <si>
    <t>Nőgyógyászat</t>
  </si>
  <si>
    <t>Reuma</t>
  </si>
  <si>
    <t>Visegrádi u. összesen</t>
  </si>
  <si>
    <t>Járóbeteg összesen</t>
  </si>
  <si>
    <t>Labor</t>
  </si>
  <si>
    <t>Fogászat</t>
  </si>
  <si>
    <t>Hónap</t>
  </si>
  <si>
    <t>Elvégzett műtétek száma szakmai bontásban</t>
  </si>
  <si>
    <t>Jelentett    HBCS súly</t>
  </si>
  <si>
    <t>Műtétek száma</t>
  </si>
  <si>
    <t>Január</t>
  </si>
  <si>
    <t>Február</t>
  </si>
  <si>
    <t>Március</t>
  </si>
  <si>
    <t>Április</t>
  </si>
  <si>
    <t>Május</t>
  </si>
  <si>
    <t>Június</t>
  </si>
  <si>
    <t>eltérés a jelentett és jelenthető pontok között</t>
  </si>
  <si>
    <t>tárgyhavi</t>
  </si>
  <si>
    <t>hibajavítás</t>
  </si>
  <si>
    <t>halmozott</t>
  </si>
  <si>
    <t>november</t>
  </si>
  <si>
    <t>december</t>
  </si>
  <si>
    <t>január</t>
  </si>
  <si>
    <t>február</t>
  </si>
  <si>
    <t>március</t>
  </si>
  <si>
    <t>április</t>
  </si>
  <si>
    <t>május</t>
  </si>
  <si>
    <t>június</t>
  </si>
  <si>
    <t>július</t>
  </si>
  <si>
    <t>augusztus</t>
  </si>
  <si>
    <t>szeptember</t>
  </si>
  <si>
    <t>október</t>
  </si>
  <si>
    <t>Szakfeladat</t>
  </si>
  <si>
    <t>Teljes munkaidő</t>
  </si>
  <si>
    <t>Részmunkaidő**</t>
  </si>
  <si>
    <t>orvos</t>
  </si>
  <si>
    <t>felsőfokú végzettségű</t>
  </si>
  <si>
    <t>szakdolgozó</t>
  </si>
  <si>
    <t>egyéb</t>
  </si>
  <si>
    <t>Igazgatás</t>
  </si>
  <si>
    <t>Otthoni szakápolás</t>
  </si>
  <si>
    <t>Járóbeteg</t>
  </si>
  <si>
    <t>Egynapos sebészet</t>
  </si>
  <si>
    <t>Védőnői szolgálat</t>
  </si>
  <si>
    <t>Iskola-egészségügy</t>
  </si>
  <si>
    <t>Közreműködői szerződés**</t>
  </si>
  <si>
    <t>Megbízási szerződés</t>
  </si>
  <si>
    <t>Belgyógyászat-diabetológia</t>
  </si>
  <si>
    <t>ODM-Menopausa</t>
  </si>
  <si>
    <t>OEP bértámogatás</t>
  </si>
  <si>
    <t>Távolléti díj (alapbér jellegű része)</t>
  </si>
  <si>
    <t>OEP eseti keresetkiegészítés</t>
  </si>
  <si>
    <t>távolléti díj (változó része)</t>
  </si>
  <si>
    <t>védőnői bérlet</t>
  </si>
  <si>
    <t>Bőrgyógyászat*</t>
  </si>
  <si>
    <t>Sebészet**</t>
  </si>
  <si>
    <t>Traumatológia**</t>
  </si>
  <si>
    <t>kultúra utalvány</t>
  </si>
  <si>
    <t>OEP ágazati béremelés</t>
  </si>
  <si>
    <t>2014 évi terv</t>
  </si>
  <si>
    <t>2014 terv</t>
  </si>
  <si>
    <t>2014          tény</t>
  </si>
  <si>
    <t>2014 évi terv                                           (adatok e Ft-ban)</t>
  </si>
  <si>
    <t>2014-ben jelenthető pontok</t>
  </si>
  <si>
    <t>2014-ben jelentett pontok</t>
  </si>
  <si>
    <t>2014-ben elfogadott pontok</t>
  </si>
  <si>
    <t>OEP ágazati béremelés 2014</t>
  </si>
  <si>
    <t>védőnői pótlék (területi, OEP)</t>
  </si>
  <si>
    <t>munkaviszony megszűnése miatti bér</t>
  </si>
  <si>
    <t>Szegedi út, Visegrádi u. Társasház közös költsége</t>
  </si>
  <si>
    <t>Részmunkaidő</t>
  </si>
  <si>
    <t>Közreműködői szerződés</t>
  </si>
  <si>
    <t>Röntgen</t>
  </si>
  <si>
    <t>* Bőrgyógyászat szakrendelés 2013.03.01-től A Visegrádi utcai rendelőben</t>
  </si>
  <si>
    <t>** Sebészet-Traumatológia szakrendelés 2013.03.01-től csak a Szegedi úti rendelőben</t>
  </si>
  <si>
    <t>Kardiológia-EKG</t>
  </si>
  <si>
    <t>ebből - veszélyes hulladék kezelése</t>
  </si>
  <si>
    <t>Július</t>
  </si>
  <si>
    <t>Augusztus</t>
  </si>
  <si>
    <t>Szeptember</t>
  </si>
  <si>
    <t>Illetménykiegészítés 2013.11.01.-től (védőnő, iskolaorvos)</t>
  </si>
  <si>
    <t>OEP ágazati béremelés 2013.01.01.-10.31.visszamenőleges</t>
  </si>
  <si>
    <t>2014 év tény</t>
  </si>
  <si>
    <t>2013. év</t>
  </si>
  <si>
    <t>2014. év</t>
  </si>
  <si>
    <t>2014. év aránya a tervhez képest</t>
  </si>
  <si>
    <t>2014. év aránya                                            a tervhez képest</t>
  </si>
  <si>
    <t>December hónapban a jelentett teljesítmény szerepel</t>
  </si>
  <si>
    <t>Október</t>
  </si>
  <si>
    <t>November</t>
  </si>
  <si>
    <t>December</t>
  </si>
  <si>
    <t>OEP egyszeri visszamenőleges támogatás</t>
  </si>
  <si>
    <t>Terv</t>
  </si>
  <si>
    <t>2014.01.01 -  2014.12.31.</t>
  </si>
  <si>
    <t>gép-,müszer</t>
  </si>
  <si>
    <t>bútor</t>
  </si>
  <si>
    <t>ügyvitel-,számt.</t>
  </si>
  <si>
    <t>gépkocsi</t>
  </si>
  <si>
    <t>vagyonért.jog</t>
  </si>
  <si>
    <t>épület</t>
  </si>
  <si>
    <t>Védőnői Szolg.</t>
  </si>
  <si>
    <t>Fogászati ell.</t>
  </si>
  <si>
    <t>központi irányitás</t>
  </si>
  <si>
    <t>közérzetjavító</t>
  </si>
  <si>
    <t>11. sz. melléklet</t>
  </si>
  <si>
    <t>BERUHÁZÁS  2014.01.01. - 2014.12.31.</t>
  </si>
  <si>
    <t>Érték Ft</t>
  </si>
  <si>
    <t>JÁRÓBETEG</t>
  </si>
  <si>
    <t>SOFTWER ANTIVIRUS 1 ÉVES LICENS</t>
  </si>
  <si>
    <t>szoftver Windows 20 db</t>
  </si>
  <si>
    <t>szoftver Office   20 db</t>
  </si>
  <si>
    <t>beteg előjegyzési modul fejlesztése</t>
  </si>
  <si>
    <t>kommunikációs kábel-program</t>
  </si>
  <si>
    <t>Szegedi út Fül-orr-gége</t>
  </si>
  <si>
    <t>szoftver audiométerhez</t>
  </si>
  <si>
    <t>gép,-müszer</t>
  </si>
  <si>
    <t>Szegedi út  Fizikó</t>
  </si>
  <si>
    <t>MOSÓ-SZÁRÍTÓGÉP</t>
  </si>
  <si>
    <t>Szegedi út Egynapos Seb</t>
  </si>
  <si>
    <r>
      <t xml:space="preserve">MULTIFUNKCIÓS MOTOR  </t>
    </r>
    <r>
      <rPr>
        <b/>
        <i/>
        <sz val="10"/>
        <rFont val="Arial CE"/>
        <charset val="238"/>
      </rPr>
      <t>2013 befejezetlen</t>
    </r>
  </si>
  <si>
    <r>
      <t xml:space="preserve">SAGGITÁLIS FŰRÉSZFEJ </t>
    </r>
    <r>
      <rPr>
        <b/>
        <i/>
        <sz val="10"/>
        <rFont val="Arial CE"/>
        <charset val="238"/>
      </rPr>
      <t>2013 befejezetlen</t>
    </r>
  </si>
  <si>
    <t>ALTATÓGÉPHEZ BYPASS SZELEP</t>
  </si>
  <si>
    <t>KÉZIFEJ</t>
  </si>
  <si>
    <t>HUMBY KÉS</t>
  </si>
  <si>
    <t>Szegedi út orvos igazgató</t>
  </si>
  <si>
    <t>DERMATOSCÓP</t>
  </si>
  <si>
    <t>Szegedi út Szemészet</t>
  </si>
  <si>
    <t>PERIMÉTER ASZTALLAL</t>
  </si>
  <si>
    <t>Szegedi út  Laboratórium</t>
  </si>
  <si>
    <t>IMMUNOLÓGIAI AUTOMATA</t>
  </si>
  <si>
    <t>Szegedi út  ODM</t>
  </si>
  <si>
    <t>ODM-hez XRAY SOURCE 391A168</t>
  </si>
  <si>
    <t>PS PANEL</t>
  </si>
  <si>
    <t>Szegedi út Kardiológia</t>
  </si>
  <si>
    <t>HOLTER  4 DB</t>
  </si>
  <si>
    <t>Szegedi út Fül-orr</t>
  </si>
  <si>
    <t>TYMPANOMÉTERHEZ NYOMTATÓ</t>
  </si>
  <si>
    <t>Szegedi út RTG</t>
  </si>
  <si>
    <t>EMELŐMOTOR felvételi munkahelyhez</t>
  </si>
  <si>
    <r>
      <t xml:space="preserve">TANGENTOR KÁD  </t>
    </r>
    <r>
      <rPr>
        <b/>
        <sz val="10"/>
        <rFont val="Arial CE"/>
        <charset val="238"/>
      </rPr>
      <t xml:space="preserve"> (Önkorm:átadás)</t>
    </r>
  </si>
  <si>
    <t>HŰTŐSZEKRÉNY   41 DB</t>
  </si>
  <si>
    <t>MIKROHULLÁMÚ SÜTŐ  2 DB</t>
  </si>
  <si>
    <t>MOSÓ-STÁRÍTÓGÉP   2 DB</t>
  </si>
  <si>
    <t>HULLADÉKGYŰJTŐ KÜLTÉRI</t>
  </si>
  <si>
    <t>NAPELLENZŐ  2 DB</t>
  </si>
  <si>
    <t>Visegrádi u</t>
  </si>
  <si>
    <r>
      <t xml:space="preserve">BÚTOR   </t>
    </r>
    <r>
      <rPr>
        <b/>
        <sz val="10"/>
        <rFont val="Arial CE"/>
        <charset val="238"/>
      </rPr>
      <t>(Önkorm: átadás)</t>
    </r>
  </si>
  <si>
    <t>MÜSZERKOCSI FIÓKOS  2 DB</t>
  </si>
  <si>
    <t>RUHATÁRI FOGASÁLLVÁNY  3 DB</t>
  </si>
  <si>
    <t>SZEKRÉNY SOR</t>
  </si>
  <si>
    <t>Visegrádi u Urológia</t>
  </si>
  <si>
    <t>MÜSZERASZTAL  2 DB</t>
  </si>
  <si>
    <t>ügyvitel,-számt.</t>
  </si>
  <si>
    <t>SZÁMÍTÓGÉP  20 DB</t>
  </si>
  <si>
    <t>MONITOR 20 DB</t>
  </si>
  <si>
    <t>NYOMTATÓ 20 DB</t>
  </si>
  <si>
    <t>informatika     625</t>
  </si>
  <si>
    <t>SZÜNETMENTES</t>
  </si>
  <si>
    <t>MONITOR</t>
  </si>
  <si>
    <t>Járóbeteg összesen:</t>
  </si>
  <si>
    <t>Központi írányítás</t>
  </si>
  <si>
    <t>vagyon ért.jog</t>
  </si>
  <si>
    <t>WINDOWS 8,1 HU     2 DB</t>
  </si>
  <si>
    <t>OFFICE 2013 HUN     2 DB</t>
  </si>
  <si>
    <t>gép,-műszer</t>
  </si>
  <si>
    <t>MÉRLEG RAKTÁRI</t>
  </si>
  <si>
    <t>FŰNYIRÓ</t>
  </si>
  <si>
    <t>ügyvit.számt</t>
  </si>
  <si>
    <t>NOTEBOOK      2 DB</t>
  </si>
  <si>
    <t>ADAPTER NOTEBOOK</t>
  </si>
  <si>
    <t>NYOMTATÓ</t>
  </si>
  <si>
    <t>Központi irányítás összesen:</t>
  </si>
  <si>
    <t>Védőnői Szolgálat</t>
  </si>
  <si>
    <t>Révész u</t>
  </si>
  <si>
    <t>KERINGTETŐ SZIVATTYÚ</t>
  </si>
  <si>
    <t>Nővér u</t>
  </si>
  <si>
    <t>VIZELETVIZSGÁLÓ KÉSZÜLÉK</t>
  </si>
  <si>
    <r>
      <rPr>
        <b/>
        <sz val="10"/>
        <rFont val="Arial CE"/>
        <charset val="238"/>
      </rPr>
      <t>ING pályázat</t>
    </r>
    <r>
      <rPr>
        <sz val="10"/>
        <rFont val="Arial CE"/>
        <charset val="238"/>
      </rPr>
      <t xml:space="preserve">  DOPPLER, SZÜRŐAUDIOMÉTER</t>
    </r>
  </si>
  <si>
    <t>Védőnői szolgálat összesen</t>
  </si>
  <si>
    <t>Fogászati ellátás</t>
  </si>
  <si>
    <t>KOMPRESSZOR</t>
  </si>
  <si>
    <t>Fogászati ellátás összesen:</t>
  </si>
  <si>
    <t>MINDÖSSZESEN:</t>
  </si>
  <si>
    <t>Mindösszesen</t>
  </si>
  <si>
    <t>11./a melléklet</t>
  </si>
  <si>
    <t>XIII. ker. Egészségügyi Szolgálat Közhasznú Nonprofit Kft.</t>
  </si>
  <si>
    <t>MÉRLEG "A" változat ESZKÖZÖK</t>
  </si>
  <si>
    <t>Megnevezés / E Ft</t>
  </si>
  <si>
    <t>2013.12.31 Záró</t>
  </si>
  <si>
    <t>2014.12.31 Záró</t>
  </si>
  <si>
    <t>A</t>
  </si>
  <si>
    <t>BEFEKTETETT ESZKÖZÖK</t>
  </si>
  <si>
    <t>I.</t>
  </si>
  <si>
    <t>IMMATERIÁLIS JAVAK</t>
  </si>
  <si>
    <t>I.1</t>
  </si>
  <si>
    <t>Alapítás-átszervezés aktivált értéke</t>
  </si>
  <si>
    <t>I.2</t>
  </si>
  <si>
    <t>Kísérleti fejlesztés aktivált értéke</t>
  </si>
  <si>
    <t>I.3</t>
  </si>
  <si>
    <t>Vagyoni értékű jogok</t>
  </si>
  <si>
    <t>I.4</t>
  </si>
  <si>
    <t>Szellemi termékek</t>
  </si>
  <si>
    <t>I.5</t>
  </si>
  <si>
    <t>Üzleti vagy cégérték</t>
  </si>
  <si>
    <t>I.6</t>
  </si>
  <si>
    <t>Immateriális javakra adott előlegek</t>
  </si>
  <si>
    <t>I.7</t>
  </si>
  <si>
    <t>Immateriális javak értékhelyesbítése</t>
  </si>
  <si>
    <t>II.</t>
  </si>
  <si>
    <t>TÁRGYI ESZKÖZÖK</t>
  </si>
  <si>
    <t>II.1</t>
  </si>
  <si>
    <t>Ingatlanok és kapcsolódó vagyoni értékű jogok</t>
  </si>
  <si>
    <t>II.2</t>
  </si>
  <si>
    <t>Műszaki berendezések, gépek, járművek</t>
  </si>
  <si>
    <t>II.3</t>
  </si>
  <si>
    <t>Egyéb berendezések, felszerelések, járművek</t>
  </si>
  <si>
    <t>II.4</t>
  </si>
  <si>
    <t>Tenyészállatok</t>
  </si>
  <si>
    <t>II.5</t>
  </si>
  <si>
    <t>Beruházások</t>
  </si>
  <si>
    <t>II.6</t>
  </si>
  <si>
    <t>Beruházásokra adott előleg</t>
  </si>
  <si>
    <t>II.7</t>
  </si>
  <si>
    <t>Tárgyi eszközök értékhelyesbítése</t>
  </si>
  <si>
    <t>III.</t>
  </si>
  <si>
    <t>BEFEKTETETT PÉNZÜGYI ESZKÖZÖK.</t>
  </si>
  <si>
    <t>III.1</t>
  </si>
  <si>
    <t>Tartós részesedések kapcsolt vállalkozásban</t>
  </si>
  <si>
    <t>III.2</t>
  </si>
  <si>
    <t>Tartósan adott kölcsön kapcsolt vállalkozásban</t>
  </si>
  <si>
    <t>III.3</t>
  </si>
  <si>
    <t>Egyéb tartós részesedés</t>
  </si>
  <si>
    <t>III.4</t>
  </si>
  <si>
    <t>Tartósan adott kölcsön egyéb részesedési viszonyban álló vállalkozásban</t>
  </si>
  <si>
    <t>III.5</t>
  </si>
  <si>
    <t>Egyéb tartósan adott kölcsön</t>
  </si>
  <si>
    <t>III.6</t>
  </si>
  <si>
    <t>Tartós hitelviszonyt megtestesítő értékpapír</t>
  </si>
  <si>
    <t>III.7</t>
  </si>
  <si>
    <t>Befektetett pénzügyi eszközök értékhelyesbítése</t>
  </si>
  <si>
    <t>III.8</t>
  </si>
  <si>
    <t>Befektetett pénzügyi eszközök értékelési különbözete</t>
  </si>
  <si>
    <t>B</t>
  </si>
  <si>
    <t>FORGÓESZKÖZÖK</t>
  </si>
  <si>
    <t>I</t>
  </si>
  <si>
    <t>KÉSZLETEK</t>
  </si>
  <si>
    <t>Anyagok</t>
  </si>
  <si>
    <t>Befejezetlen termelés és félkész termék</t>
  </si>
  <si>
    <t>Növendék-, hízó- és egyéb állatok</t>
  </si>
  <si>
    <t>Késztermékek</t>
  </si>
  <si>
    <t>Áruk</t>
  </si>
  <si>
    <t>Készletre adott előlegek</t>
  </si>
  <si>
    <t>KÖVETELÉSEK</t>
  </si>
  <si>
    <t>Követelések áruszállításból és szolgáltatásból</t>
  </si>
  <si>
    <t>Követelések kapcsolt vállalkozással szemben</t>
  </si>
  <si>
    <t>Követelések egyéb részesedési viszonyban lévő vállalkozással szemben</t>
  </si>
  <si>
    <t>Váltókövetelések</t>
  </si>
  <si>
    <t>Egyéb követelések</t>
  </si>
  <si>
    <t>Követelések értékelési különbözete</t>
  </si>
  <si>
    <t>Származékos ügyletek pozitív értékelési különbözete</t>
  </si>
  <si>
    <t>ÉRTÉKPAPÍROK</t>
  </si>
  <si>
    <t>Részesedés kapcsolt vállalkozásban</t>
  </si>
  <si>
    <t>Egyéb részesedés</t>
  </si>
  <si>
    <t>Saját részvények és részesedések</t>
  </si>
  <si>
    <t>Forgatási célú hitelviszonyt megtestesítő értékpapírok</t>
  </si>
  <si>
    <t>Értékpapírok értékelési különbözete</t>
  </si>
  <si>
    <t>IV.</t>
  </si>
  <si>
    <t>PÉNZESZKÖZÖK</t>
  </si>
  <si>
    <t>IV.1</t>
  </si>
  <si>
    <t>Pénztár, csekkek</t>
  </si>
  <si>
    <t>IV.2</t>
  </si>
  <si>
    <t>Bankbetétek</t>
  </si>
  <si>
    <t>C</t>
  </si>
  <si>
    <t>AKTÍV IDŐBELI ELHATÁROLÁSOK</t>
  </si>
  <si>
    <t>C.1</t>
  </si>
  <si>
    <t>Bevételek aktív időbeli elhatárolása</t>
  </si>
  <si>
    <t>C.2</t>
  </si>
  <si>
    <t>Költségek, ráfordítások aktív időbeli elhatárolása</t>
  </si>
  <si>
    <t>C.3</t>
  </si>
  <si>
    <t>Halasztott ráfordítások</t>
  </si>
  <si>
    <t>ESZKÖZÖK  ÖSSZESEN:</t>
  </si>
  <si>
    <t>13./a melléklet</t>
  </si>
  <si>
    <t>MÉRLEG "A" változat FORRÁSOK</t>
  </si>
  <si>
    <t>D.</t>
  </si>
  <si>
    <t>SAJÁT TŐKE</t>
  </si>
  <si>
    <t>JEGYZETT TŐKE</t>
  </si>
  <si>
    <t>ebből visszavásárolt tulajdoni részesedés névértéken</t>
  </si>
  <si>
    <t>JEGYZETT, DE MÉG BE NEM FIZ. TŐKE</t>
  </si>
  <si>
    <t>TŐKETARTALÉK</t>
  </si>
  <si>
    <t xml:space="preserve">IV. </t>
  </si>
  <si>
    <t>EREDMÉNYTARTALÉK</t>
  </si>
  <si>
    <t>V.</t>
  </si>
  <si>
    <t>LEKÖTÖTT TARTALÉK</t>
  </si>
  <si>
    <t>VI.</t>
  </si>
  <si>
    <t>ÉRTÉKELÉSI TARTALÉK</t>
  </si>
  <si>
    <t>VI.1</t>
  </si>
  <si>
    <t>Értékhelyesbítés értékelési tartaléka</t>
  </si>
  <si>
    <t>VI.2</t>
  </si>
  <si>
    <t>Valós értékelés értékelési tartaléka</t>
  </si>
  <si>
    <t>VII.</t>
  </si>
  <si>
    <t>MÉRLEG SZERINTI EREDMÉNY</t>
  </si>
  <si>
    <t>E.</t>
  </si>
  <si>
    <t>CÉLTARTALÉKOK</t>
  </si>
  <si>
    <t>E.1</t>
  </si>
  <si>
    <t>Céltartalék a várható kötelezettségekre</t>
  </si>
  <si>
    <t>E.2</t>
  </si>
  <si>
    <t>Céltartalék a jövőbeni költségekre</t>
  </si>
  <si>
    <t>E.3</t>
  </si>
  <si>
    <t>Egyéb céltartalék</t>
  </si>
  <si>
    <t>F.</t>
  </si>
  <si>
    <t>KÖTELEZETTSÉGEK</t>
  </si>
  <si>
    <t>HÁTRASOROLT KÖTELEZETTSÉGEK</t>
  </si>
  <si>
    <t>Hátrasorolt kötelezettségek kapcsolt vállalkozással szemben</t>
  </si>
  <si>
    <t>Hátrasorolt kötelezettségek egyéb részesedési viszonyban lévő vállalkozással szemben</t>
  </si>
  <si>
    <t>Hátrasorolt kötelezettségek egyéb gazdálkodóval szemben</t>
  </si>
  <si>
    <t>HOSSZÚ LEJÁRATÚ KÖTELEZETTSÉGEK</t>
  </si>
  <si>
    <t>Hosszú lejáratra kapott kölcsönök</t>
  </si>
  <si>
    <t>Átváltoztatható kötvény</t>
  </si>
  <si>
    <t>Tartozások kötvénykibocsátásból</t>
  </si>
  <si>
    <t>Beruházási és  fejlesztési hitelek</t>
  </si>
  <si>
    <t>Egyéb hosszú lejáratú hitelek</t>
  </si>
  <si>
    <t>Tartós kötelezettségek kapcsolt vállalkozással szemben</t>
  </si>
  <si>
    <t>Tartós kötelezettségek egyéb részesedési viszonyban lévő vállalkozással szemben</t>
  </si>
  <si>
    <t>II.8</t>
  </si>
  <si>
    <t>Egyéb hosszú lejáratú kötelezettségek</t>
  </si>
  <si>
    <t>RÖVID LEJÁRATÚ KÖTELEZETTSÉGEK</t>
  </si>
  <si>
    <t>Rövid lejáratú kölcsönök</t>
  </si>
  <si>
    <t>ebből az átváltoztatható kötvények</t>
  </si>
  <si>
    <t>Rövid lejáratú hitelek</t>
  </si>
  <si>
    <t>Vevőtől kapott előlegek</t>
  </si>
  <si>
    <t>Kötelezettségek áruszállításból és szolgáltatásból</t>
  </si>
  <si>
    <t>Kötelezettségek anyavállalattal szemben</t>
  </si>
  <si>
    <t>Váltótartozások</t>
  </si>
  <si>
    <t>Rövid lejáratú kötelezettségek kapcsolt vállalkozással szemben</t>
  </si>
  <si>
    <t>Rövid lejáratú kötelezettségek egyéb részesedési viszonyban lévő vállalkozással szemben</t>
  </si>
  <si>
    <t>Egyéb rövid  lejáratú kötelezettségek</t>
  </si>
  <si>
    <t>III.9</t>
  </si>
  <si>
    <t>Kötelezettségek értékelési különbözete</t>
  </si>
  <si>
    <t>III.10</t>
  </si>
  <si>
    <t>Származékos ügyletek negatív értékelési különbözete</t>
  </si>
  <si>
    <t>G.</t>
  </si>
  <si>
    <t>PASSZÍV IDŐBELI ELHATÁROLÁSOK</t>
  </si>
  <si>
    <t>G.1</t>
  </si>
  <si>
    <t>Bevételek passzív időbeli elhatárolása</t>
  </si>
  <si>
    <t>G.2</t>
  </si>
  <si>
    <t>Költségek, ráfordítások passzív időbeli elhatárolása</t>
  </si>
  <si>
    <t>G.3</t>
  </si>
  <si>
    <t>Halasztott bevételek</t>
  </si>
  <si>
    <t>FORRÁSOK (PASSZÍVÁK ) ÖSSZESEN:</t>
  </si>
  <si>
    <t>13./b melléklet</t>
  </si>
  <si>
    <t xml:space="preserve"> EREDMÉNYKIMUTATÁS ÖSSZKÖLTSÉG "A"</t>
  </si>
  <si>
    <t>Belföldi értékesítés nettó árbevétele</t>
  </si>
  <si>
    <t>OEP elszámolás</t>
  </si>
  <si>
    <t>saját tevékenység</t>
  </si>
  <si>
    <t>Export értékesítés nettó árbevétele</t>
  </si>
  <si>
    <t>ÉRTÉKESÍTÉS NETTÓ ÁRBEVÉTELE</t>
  </si>
  <si>
    <t>Saját termelésű készletek állományváltozása</t>
  </si>
  <si>
    <t>Saját előállítású eszközök  aktívált értéke</t>
  </si>
  <si>
    <t>AKTÍVÁLT SAJÁT TELJESÍTMÉNYEK ÉRTÉKE</t>
  </si>
  <si>
    <t>EGYÉB BEVÉTELEK</t>
  </si>
  <si>
    <t>Önkormányzati működési támogatás</t>
  </si>
  <si>
    <t>Egyéb bevétel</t>
  </si>
  <si>
    <t>ebből visszaírt értékvesztés</t>
  </si>
  <si>
    <t>Igénybe vett szolgáltatások</t>
  </si>
  <si>
    <t>Egyéb szolgáltatások értéke</t>
  </si>
  <si>
    <t>Eladott áruk beszerzési értéke</t>
  </si>
  <si>
    <t>ANYAGJELLEGŰ RÁFORDÍTÁSOK</t>
  </si>
  <si>
    <t>Bérjárulékok</t>
  </si>
  <si>
    <t>SZEMÉLYI JELLEGŰ RÁFORDÍTÁSOK</t>
  </si>
  <si>
    <t>ÉRTÉKCSÖKKENÉSI LEÍRÁS</t>
  </si>
  <si>
    <t>EGYÉB RÁFORDÍTÁSOK</t>
  </si>
  <si>
    <t>ebből értékvesztés</t>
  </si>
  <si>
    <t>ÜZEMI TEVÉKENYSÉG EREDMÉNYE</t>
  </si>
  <si>
    <t>Kapott osztalék és részesedés</t>
  </si>
  <si>
    <t>ebből kapcsolt vállalkozástól kapott</t>
  </si>
  <si>
    <t>Részesedés értékesítésének árfolyamnyeresége</t>
  </si>
  <si>
    <t>Befektetett pénzügyi eszközök kamatai, árfolyamnyeresége</t>
  </si>
  <si>
    <t>Egyéb kapott kamatok és kamatjellegű bevételek</t>
  </si>
  <si>
    <t>Pénzügyi műveletek egyéb bevételei</t>
  </si>
  <si>
    <t>ebből: értékelési különbözet</t>
  </si>
  <si>
    <t>IX.</t>
  </si>
  <si>
    <t>PÉNZÜGYI MŰVELETEK BEVÉTELEI</t>
  </si>
  <si>
    <t>Befektetett pénzügyi eszközök árfolyamvesztesége</t>
  </si>
  <si>
    <t>ebből kapcsolt vállalkozásnak adott</t>
  </si>
  <si>
    <t>Fizetendő kamatok és kamatjellegű ráfordítások</t>
  </si>
  <si>
    <t>Részesedések, értékpapírok, bankbetétek értékvesztése</t>
  </si>
  <si>
    <t>Pénzügyi műveletek egyéb ráfordításai</t>
  </si>
  <si>
    <t>X.</t>
  </si>
  <si>
    <t>PÉNZÜGYI MŰVELETEK RÁFORDÍTÁSAI</t>
  </si>
  <si>
    <t>Pénzügyi műveletek eredménye</t>
  </si>
  <si>
    <t>Szokásos vállalkozási eredmény</t>
  </si>
  <si>
    <t>XI.</t>
  </si>
  <si>
    <t>RENDKÍVÜLI BEVÉTELEK</t>
  </si>
  <si>
    <t>XII.</t>
  </si>
  <si>
    <t>RENDKÍVÜLI RÁFORDÍTÁSOK</t>
  </si>
  <si>
    <t>D</t>
  </si>
  <si>
    <t>RENDKÍVÜLI EREDMÉNY</t>
  </si>
  <si>
    <t>E</t>
  </si>
  <si>
    <t>ADÓZÁS ELŐTTI EREDMÉNY</t>
  </si>
  <si>
    <t>XIII.</t>
  </si>
  <si>
    <t>ADÓFIZETÉSI KÖTELEZETTSÉG</t>
  </si>
  <si>
    <t>F</t>
  </si>
  <si>
    <t xml:space="preserve">ADÓZOTT EREDMÉNY </t>
  </si>
  <si>
    <t>Eredménytartalék igénybevétele osztalékra</t>
  </si>
  <si>
    <t>Fizetett (jóváhagyott) osztalék és részesedés</t>
  </si>
  <si>
    <t>G</t>
  </si>
  <si>
    <t>12. sz. melléklet</t>
  </si>
  <si>
    <t>Budapest, XIII. kerület Szegedi út 17.sz.Egészségház Társasház</t>
  </si>
  <si>
    <t>BEVÉTEL eFt</t>
  </si>
  <si>
    <t>Éves terv</t>
  </si>
  <si>
    <t>Éves tény</t>
  </si>
  <si>
    <t xml:space="preserve">Közös költség </t>
  </si>
  <si>
    <t>KIADÁS eFt</t>
  </si>
  <si>
    <t>Közüzemi szolgáltatás</t>
  </si>
  <si>
    <t>Takarítás</t>
  </si>
  <si>
    <t>Őrzés-védelem</t>
  </si>
  <si>
    <t xml:space="preserve">Ingatlan karbantartás </t>
  </si>
  <si>
    <t>Lift karbantartás</t>
  </si>
  <si>
    <t>Szemétszállítás</t>
  </si>
  <si>
    <t>Tranzakciós-bankköltség</t>
  </si>
  <si>
    <t xml:space="preserve">Vagyonbiztosítás </t>
  </si>
  <si>
    <t>Jogi tanácsadás-könyvvizsgálat</t>
  </si>
  <si>
    <t xml:space="preserve">Közös képviseleti díj </t>
  </si>
  <si>
    <t xml:space="preserve">Összesen: </t>
  </si>
  <si>
    <t xml:space="preserve">Bevétel - Kiadás :   </t>
  </si>
  <si>
    <t>14. sz. melléklet</t>
  </si>
  <si>
    <t>Budapest, XIII. kerület Visegrádi u. 47/C- Alig u. 9.sz. Egészségház Társasház</t>
  </si>
  <si>
    <t>Biztosító</t>
  </si>
  <si>
    <t>15.sz.melléklet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</si>
</sst>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%"/>
    <numFmt numFmtId="165" formatCode="#,##0.0"/>
    <numFmt numFmtId="166" formatCode="#,##0\ &quot;Ft&quot;"/>
    <numFmt numFmtId="167" formatCode="0.0"/>
  </numFmts>
  <fonts count="35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i/>
      <sz val="10"/>
      <name val="Arial CE"/>
      <family val="2"/>
      <charset val="238"/>
    </font>
    <font>
      <sz val="10"/>
      <name val="Arial CE"/>
      <family val="2"/>
      <charset val="238"/>
    </font>
    <font>
      <b/>
      <i/>
      <sz val="10"/>
      <name val="Arial CE"/>
      <family val="2"/>
      <charset val="238"/>
    </font>
    <font>
      <i/>
      <sz val="10"/>
      <name val="Arial CE"/>
      <charset val="238"/>
    </font>
    <font>
      <sz val="10"/>
      <name val="Times New Roman"/>
      <family val="1"/>
      <charset val="238"/>
    </font>
    <font>
      <sz val="26"/>
      <name val="Arial CE"/>
      <family val="2"/>
      <charset val="238"/>
    </font>
    <font>
      <b/>
      <sz val="10"/>
      <name val="Arial CE"/>
      <charset val="238"/>
    </font>
    <font>
      <b/>
      <sz val="11"/>
      <color theme="1"/>
      <name val="Calibri"/>
      <family val="2"/>
      <charset val="238"/>
      <scheme val="minor"/>
    </font>
    <font>
      <sz val="11"/>
      <name val="Arial CE"/>
      <family val="2"/>
      <charset val="238"/>
    </font>
    <font>
      <b/>
      <sz val="11"/>
      <name val="Arial CE"/>
      <family val="2"/>
      <charset val="238"/>
    </font>
    <font>
      <sz val="12"/>
      <name val="Arial CE"/>
      <family val="2"/>
      <charset val="238"/>
    </font>
    <font>
      <b/>
      <i/>
      <sz val="10"/>
      <name val="Arial CE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</font>
    <font>
      <sz val="10"/>
      <name val="Times New Roman"/>
      <family val="1"/>
    </font>
    <font>
      <b/>
      <sz val="9"/>
      <name val="Arial Narrow"/>
      <family val="2"/>
      <charset val="238"/>
    </font>
    <font>
      <b/>
      <sz val="10"/>
      <name val="Times New Roman"/>
      <family val="1"/>
    </font>
    <font>
      <b/>
      <sz val="9"/>
      <name val="Times New Roman"/>
      <family val="1"/>
    </font>
    <font>
      <i/>
      <sz val="9"/>
      <name val="Arial Narrow"/>
      <family val="2"/>
      <charset val="238"/>
    </font>
    <font>
      <sz val="9"/>
      <name val="Arial Narrow"/>
      <family val="2"/>
    </font>
    <font>
      <sz val="9"/>
      <name val="Arial Narrow"/>
      <family val="2"/>
      <charset val="238"/>
    </font>
    <font>
      <sz val="9"/>
      <name val="Times New Roman"/>
      <family val="1"/>
    </font>
    <font>
      <b/>
      <sz val="10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9"/>
      <name val="Arial Narrow"/>
      <family val="2"/>
    </font>
    <font>
      <b/>
      <i/>
      <sz val="13"/>
      <color theme="1"/>
      <name val="Calibri"/>
      <family val="2"/>
      <charset val="238"/>
      <scheme val="minor"/>
    </font>
    <font>
      <b/>
      <i/>
      <sz val="20"/>
      <color theme="1"/>
      <name val="Calibri"/>
      <family val="2"/>
      <charset val="238"/>
      <scheme val="minor"/>
    </font>
    <font>
      <b/>
      <i/>
      <sz val="18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8">
    <xf numFmtId="0" fontId="0" fillId="0" borderId="0"/>
    <xf numFmtId="0" fontId="3" fillId="0" borderId="0"/>
    <xf numFmtId="0" fontId="2" fillId="0" borderId="0"/>
    <xf numFmtId="9" fontId="3" fillId="0" borderId="0" applyFont="0" applyFill="0" applyBorder="0" applyAlignment="0" applyProtection="0"/>
    <xf numFmtId="0" fontId="9" fillId="0" borderId="0"/>
    <xf numFmtId="0" fontId="9" fillId="0" borderId="0"/>
    <xf numFmtId="0" fontId="17" fillId="0" borderId="0"/>
    <xf numFmtId="0" fontId="1" fillId="0" borderId="0"/>
  </cellStyleXfs>
  <cellXfs count="61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5" xfId="0" applyFont="1" applyBorder="1" applyAlignment="1">
      <alignment vertical="center"/>
    </xf>
    <xf numFmtId="3" fontId="4" fillId="0" borderId="2" xfId="0" applyNumberFormat="1" applyFont="1" applyBorder="1" applyAlignment="1">
      <alignment vertical="center"/>
    </xf>
    <xf numFmtId="3" fontId="4" fillId="0" borderId="1" xfId="0" applyNumberFormat="1" applyFont="1" applyBorder="1" applyAlignment="1">
      <alignment vertical="center"/>
    </xf>
    <xf numFmtId="3" fontId="4" fillId="0" borderId="3" xfId="0" applyNumberFormat="1" applyFont="1" applyBorder="1" applyAlignment="1">
      <alignment vertical="center"/>
    </xf>
    <xf numFmtId="3" fontId="4" fillId="0" borderId="4" xfId="0" applyNumberFormat="1" applyFont="1" applyBorder="1" applyAlignment="1">
      <alignment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49" fontId="0" fillId="0" borderId="5" xfId="0" applyNumberFormat="1" applyBorder="1" applyAlignment="1">
      <alignment horizontal="left" vertical="center" indent="1"/>
    </xf>
    <xf numFmtId="3" fontId="0" fillId="0" borderId="1" xfId="0" applyNumberFormat="1" applyBorder="1" applyAlignment="1">
      <alignment vertical="center"/>
    </xf>
    <xf numFmtId="3" fontId="0" fillId="0" borderId="3" xfId="0" applyNumberFormat="1" applyBorder="1" applyAlignment="1">
      <alignment vertical="center"/>
    </xf>
    <xf numFmtId="164" fontId="0" fillId="0" borderId="2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4" fillId="0" borderId="0" xfId="0" applyFont="1" applyAlignment="1">
      <alignment vertical="center"/>
    </xf>
    <xf numFmtId="3" fontId="0" fillId="0" borderId="6" xfId="0" applyNumberForma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3" fontId="4" fillId="0" borderId="9" xfId="0" applyNumberFormat="1" applyFont="1" applyBorder="1" applyAlignment="1">
      <alignment vertical="center"/>
    </xf>
    <xf numFmtId="164" fontId="4" fillId="0" borderId="7" xfId="0" applyNumberFormat="1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vertical="center"/>
    </xf>
    <xf numFmtId="3" fontId="0" fillId="0" borderId="0" xfId="0" applyNumberFormat="1" applyAlignment="1">
      <alignment vertical="center"/>
    </xf>
    <xf numFmtId="164" fontId="0" fillId="0" borderId="0" xfId="0" applyNumberFormat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 indent="1"/>
    </xf>
    <xf numFmtId="3" fontId="5" fillId="0" borderId="1" xfId="0" applyNumberFormat="1" applyFont="1" applyBorder="1" applyAlignment="1">
      <alignment vertical="center"/>
    </xf>
    <xf numFmtId="164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 indent="4"/>
    </xf>
    <xf numFmtId="164" fontId="0" fillId="0" borderId="0" xfId="0" applyNumberFormat="1" applyAlignment="1">
      <alignment vertical="center"/>
    </xf>
    <xf numFmtId="3" fontId="4" fillId="0" borderId="14" xfId="0" applyNumberFormat="1" applyFont="1" applyBorder="1" applyAlignment="1">
      <alignment vertical="center"/>
    </xf>
    <xf numFmtId="3" fontId="4" fillId="0" borderId="15" xfId="0" applyNumberFormat="1" applyFont="1" applyBorder="1" applyAlignment="1">
      <alignment vertical="center"/>
    </xf>
    <xf numFmtId="3" fontId="0" fillId="0" borderId="12" xfId="0" applyNumberFormat="1" applyBorder="1" applyAlignment="1">
      <alignment vertical="center"/>
    </xf>
    <xf numFmtId="3" fontId="4" fillId="0" borderId="16" xfId="0" applyNumberFormat="1" applyFont="1" applyBorder="1" applyAlignment="1">
      <alignment vertical="center"/>
    </xf>
    <xf numFmtId="3" fontId="4" fillId="0" borderId="11" xfId="0" applyNumberFormat="1" applyFont="1" applyBorder="1" applyAlignment="1">
      <alignment vertical="center"/>
    </xf>
    <xf numFmtId="3" fontId="4" fillId="0" borderId="12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164" fontId="6" fillId="0" borderId="1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164" fontId="6" fillId="0" borderId="18" xfId="0" applyNumberFormat="1" applyFont="1" applyBorder="1" applyAlignment="1">
      <alignment horizontal="center" vertical="center"/>
    </xf>
    <xf numFmtId="164" fontId="4" fillId="0" borderId="18" xfId="0" applyNumberFormat="1" applyFont="1" applyBorder="1" applyAlignment="1">
      <alignment horizontal="center" vertical="center"/>
    </xf>
    <xf numFmtId="164" fontId="4" fillId="0" borderId="14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vertical="center"/>
    </xf>
    <xf numFmtId="3" fontId="6" fillId="0" borderId="2" xfId="0" applyNumberFormat="1" applyFont="1" applyBorder="1" applyAlignment="1">
      <alignment vertical="center"/>
    </xf>
    <xf numFmtId="3" fontId="6" fillId="0" borderId="4" xfId="0" applyNumberFormat="1" applyFont="1" applyBorder="1" applyAlignment="1">
      <alignment vertical="center"/>
    </xf>
    <xf numFmtId="3" fontId="4" fillId="0" borderId="20" xfId="0" applyNumberFormat="1" applyFont="1" applyBorder="1" applyAlignment="1">
      <alignment vertical="center"/>
    </xf>
    <xf numFmtId="3" fontId="4" fillId="0" borderId="7" xfId="0" applyNumberFormat="1" applyFont="1" applyBorder="1" applyAlignment="1">
      <alignment vertical="center"/>
    </xf>
    <xf numFmtId="3" fontId="4" fillId="0" borderId="10" xfId="0" applyNumberFormat="1" applyFont="1" applyBorder="1" applyAlignment="1">
      <alignment vertical="center"/>
    </xf>
    <xf numFmtId="49" fontId="0" fillId="0" borderId="2" xfId="0" applyNumberFormat="1" applyBorder="1" applyAlignment="1">
      <alignment horizontal="center" vertical="center"/>
    </xf>
    <xf numFmtId="3" fontId="6" fillId="0" borderId="0" xfId="0" applyNumberFormat="1" applyFont="1" applyAlignment="1">
      <alignment vertical="center"/>
    </xf>
    <xf numFmtId="3" fontId="6" fillId="0" borderId="18" xfId="0" applyNumberFormat="1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vertical="center"/>
    </xf>
    <xf numFmtId="3" fontId="0" fillId="0" borderId="23" xfId="0" applyNumberFormat="1" applyBorder="1" applyAlignment="1">
      <alignment vertical="center"/>
    </xf>
    <xf numFmtId="164" fontId="0" fillId="0" borderId="19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3" xfId="0" applyNumberFormat="1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3" fontId="4" fillId="0" borderId="22" xfId="0" applyNumberFormat="1" applyFont="1" applyBorder="1" applyAlignment="1">
      <alignment vertical="center"/>
    </xf>
    <xf numFmtId="3" fontId="0" fillId="0" borderId="1" xfId="0" applyNumberFormat="1" applyFont="1" applyBorder="1" applyAlignment="1">
      <alignment vertical="center"/>
    </xf>
    <xf numFmtId="3" fontId="0" fillId="0" borderId="18" xfId="0" applyNumberFormat="1" applyFont="1" applyFill="1" applyBorder="1" applyAlignment="1">
      <alignment vertical="center"/>
    </xf>
    <xf numFmtId="3" fontId="8" fillId="0" borderId="1" xfId="0" applyNumberFormat="1" applyFont="1" applyFill="1" applyBorder="1" applyAlignment="1">
      <alignment vertical="center"/>
    </xf>
    <xf numFmtId="3" fontId="0" fillId="0" borderId="1" xfId="0" applyNumberFormat="1" applyFont="1" applyFill="1" applyBorder="1" applyAlignment="1">
      <alignment vertical="center"/>
    </xf>
    <xf numFmtId="3" fontId="0" fillId="0" borderId="2" xfId="0" applyNumberFormat="1" applyFont="1" applyFill="1" applyBorder="1" applyAlignment="1">
      <alignment vertical="center"/>
    </xf>
    <xf numFmtId="3" fontId="0" fillId="0" borderId="22" xfId="0" applyNumberFormat="1" applyFont="1" applyFill="1" applyBorder="1" applyAlignment="1">
      <alignment vertical="center"/>
    </xf>
    <xf numFmtId="3" fontId="4" fillId="0" borderId="20" xfId="0" applyNumberFormat="1" applyFont="1" applyFill="1" applyBorder="1" applyAlignment="1">
      <alignment vertical="center"/>
    </xf>
    <xf numFmtId="3" fontId="4" fillId="0" borderId="1" xfId="0" applyNumberFormat="1" applyFont="1" applyFill="1" applyBorder="1" applyAlignment="1">
      <alignment vertical="center"/>
    </xf>
    <xf numFmtId="3" fontId="4" fillId="0" borderId="4" xfId="0" applyNumberFormat="1" applyFont="1" applyBorder="1" applyAlignment="1">
      <alignment horizontal="center" vertical="center"/>
    </xf>
    <xf numFmtId="3" fontId="6" fillId="0" borderId="3" xfId="0" applyNumberFormat="1" applyFont="1" applyBorder="1" applyAlignment="1">
      <alignment vertical="center"/>
    </xf>
    <xf numFmtId="3" fontId="6" fillId="0" borderId="24" xfId="0" applyNumberFormat="1" applyFont="1" applyBorder="1" applyAlignment="1">
      <alignment vertical="center"/>
    </xf>
    <xf numFmtId="3" fontId="6" fillId="0" borderId="6" xfId="0" applyNumberFormat="1" applyFont="1" applyBorder="1" applyAlignment="1">
      <alignment vertical="center"/>
    </xf>
    <xf numFmtId="0" fontId="6" fillId="0" borderId="5" xfId="0" applyFont="1" applyBorder="1" applyAlignment="1">
      <alignment vertical="center"/>
    </xf>
    <xf numFmtId="165" fontId="6" fillId="0" borderId="5" xfId="0" applyNumberFormat="1" applyFont="1" applyBorder="1" applyAlignment="1">
      <alignment vertical="center"/>
    </xf>
    <xf numFmtId="165" fontId="4" fillId="0" borderId="5" xfId="0" applyNumberFormat="1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3" fontId="6" fillId="0" borderId="5" xfId="0" applyNumberFormat="1" applyFont="1" applyBorder="1" applyAlignment="1">
      <alignment horizontal="left" vertical="center" indent="2"/>
    </xf>
    <xf numFmtId="3" fontId="6" fillId="0" borderId="21" xfId="0" applyNumberFormat="1" applyFont="1" applyBorder="1" applyAlignment="1">
      <alignment horizontal="left" vertical="center" indent="2"/>
    </xf>
    <xf numFmtId="0" fontId="4" fillId="0" borderId="21" xfId="0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0" xfId="4" applyFont="1" applyAlignment="1">
      <alignment vertical="center"/>
    </xf>
    <xf numFmtId="1" fontId="6" fillId="0" borderId="2" xfId="4" applyNumberFormat="1" applyFont="1" applyBorder="1" applyAlignment="1">
      <alignment horizontal="center" vertical="center"/>
    </xf>
    <xf numFmtId="0" fontId="6" fillId="0" borderId="1" xfId="4" applyFont="1" applyBorder="1" applyAlignment="1">
      <alignment horizontal="center" vertical="center"/>
    </xf>
    <xf numFmtId="13" fontId="6" fillId="0" borderId="3" xfId="3" applyNumberFormat="1" applyFont="1" applyBorder="1" applyAlignment="1">
      <alignment horizontal="center" vertical="center"/>
    </xf>
    <xf numFmtId="9" fontId="6" fillId="0" borderId="3" xfId="3" applyFont="1" applyBorder="1" applyAlignment="1">
      <alignment horizontal="center" vertical="center"/>
    </xf>
    <xf numFmtId="3" fontId="6" fillId="0" borderId="18" xfId="4" applyNumberFormat="1" applyFont="1" applyBorder="1" applyAlignment="1">
      <alignment vertical="center"/>
    </xf>
    <xf numFmtId="3" fontId="6" fillId="0" borderId="1" xfId="4" applyNumberFormat="1" applyFont="1" applyBorder="1" applyAlignment="1">
      <alignment vertical="center"/>
    </xf>
    <xf numFmtId="164" fontId="6" fillId="0" borderId="3" xfId="3" applyNumberFormat="1" applyFont="1" applyBorder="1" applyAlignment="1">
      <alignment horizontal="center" vertical="center"/>
    </xf>
    <xf numFmtId="0" fontId="6" fillId="0" borderId="22" xfId="4" applyFont="1" applyBorder="1" applyAlignment="1">
      <alignment horizontal="left" vertical="center"/>
    </xf>
    <xf numFmtId="0" fontId="6" fillId="0" borderId="24" xfId="4" applyFont="1" applyBorder="1" applyAlignment="1">
      <alignment horizontal="left" vertical="center"/>
    </xf>
    <xf numFmtId="3" fontId="6" fillId="0" borderId="19" xfId="4" applyNumberFormat="1" applyFont="1" applyBorder="1" applyAlignment="1">
      <alignment vertical="center"/>
    </xf>
    <xf numFmtId="3" fontId="6" fillId="0" borderId="6" xfId="4" applyNumberFormat="1" applyFont="1" applyBorder="1" applyAlignment="1">
      <alignment vertical="center"/>
    </xf>
    <xf numFmtId="164" fontId="6" fillId="0" borderId="20" xfId="3" applyNumberFormat="1" applyFont="1" applyBorder="1" applyAlignment="1">
      <alignment horizontal="center" vertical="center"/>
    </xf>
    <xf numFmtId="3" fontId="6" fillId="0" borderId="21" xfId="4" applyNumberFormat="1" applyFont="1" applyBorder="1" applyAlignment="1">
      <alignment vertical="center"/>
    </xf>
    <xf numFmtId="3" fontId="6" fillId="0" borderId="2" xfId="4" applyNumberFormat="1" applyFont="1" applyBorder="1" applyAlignment="1">
      <alignment vertical="center"/>
    </xf>
    <xf numFmtId="0" fontId="6" fillId="0" borderId="45" xfId="4" applyFont="1" applyBorder="1" applyAlignment="1">
      <alignment horizontal="left" vertical="center"/>
    </xf>
    <xf numFmtId="0" fontId="6" fillId="0" borderId="46" xfId="4" applyFont="1" applyBorder="1" applyAlignment="1">
      <alignment horizontal="left" vertical="center"/>
    </xf>
    <xf numFmtId="3" fontId="6" fillId="0" borderId="14" xfId="4" applyNumberFormat="1" applyFont="1" applyBorder="1" applyAlignment="1">
      <alignment vertical="center"/>
    </xf>
    <xf numFmtId="3" fontId="6" fillId="0" borderId="8" xfId="4" applyNumberFormat="1" applyFont="1" applyBorder="1" applyAlignment="1">
      <alignment vertical="center"/>
    </xf>
    <xf numFmtId="164" fontId="6" fillId="0" borderId="10" xfId="3" applyNumberFormat="1" applyFont="1" applyBorder="1" applyAlignment="1">
      <alignment horizontal="center" vertical="center"/>
    </xf>
    <xf numFmtId="3" fontId="6" fillId="0" borderId="47" xfId="4" applyNumberFormat="1" applyFont="1" applyBorder="1" applyAlignment="1">
      <alignment vertical="center"/>
    </xf>
    <xf numFmtId="0" fontId="6" fillId="0" borderId="45" xfId="4" applyFont="1" applyBorder="1" applyAlignment="1">
      <alignment vertical="center"/>
    </xf>
    <xf numFmtId="0" fontId="6" fillId="0" borderId="46" xfId="4" applyFont="1" applyBorder="1" applyAlignment="1">
      <alignment vertical="center"/>
    </xf>
    <xf numFmtId="3" fontId="6" fillId="0" borderId="38" xfId="4" applyNumberFormat="1" applyFont="1" applyBorder="1" applyAlignment="1">
      <alignment vertical="center"/>
    </xf>
    <xf numFmtId="3" fontId="6" fillId="0" borderId="48" xfId="4" applyNumberFormat="1" applyFont="1" applyBorder="1" applyAlignment="1">
      <alignment vertical="center"/>
    </xf>
    <xf numFmtId="164" fontId="6" fillId="0" borderId="49" xfId="3" applyNumberFormat="1" applyFont="1" applyBorder="1" applyAlignment="1">
      <alignment horizontal="center" vertical="center"/>
    </xf>
    <xf numFmtId="0" fontId="6" fillId="0" borderId="41" xfId="4" applyFont="1" applyBorder="1" applyAlignment="1">
      <alignment vertical="center"/>
    </xf>
    <xf numFmtId="0" fontId="6" fillId="0" borderId="0" xfId="4" applyFont="1" applyBorder="1" applyAlignment="1">
      <alignment vertical="center"/>
    </xf>
    <xf numFmtId="3" fontId="6" fillId="0" borderId="33" xfId="4" applyNumberFormat="1" applyFont="1" applyBorder="1" applyAlignment="1">
      <alignment vertical="center"/>
    </xf>
    <xf numFmtId="3" fontId="6" fillId="0" borderId="50" xfId="4" applyNumberFormat="1" applyFont="1" applyBorder="1" applyAlignment="1">
      <alignment vertical="center"/>
    </xf>
    <xf numFmtId="164" fontId="6" fillId="0" borderId="51" xfId="3" applyNumberFormat="1" applyFont="1" applyBorder="1" applyAlignment="1">
      <alignment horizontal="center" vertical="center"/>
    </xf>
    <xf numFmtId="3" fontId="6" fillId="0" borderId="46" xfId="4" applyNumberFormat="1" applyFont="1" applyBorder="1" applyAlignment="1">
      <alignment vertical="center"/>
    </xf>
    <xf numFmtId="3" fontId="6" fillId="0" borderId="53" xfId="4" applyNumberFormat="1" applyFont="1" applyBorder="1" applyAlignment="1">
      <alignment vertical="center"/>
    </xf>
    <xf numFmtId="164" fontId="6" fillId="0" borderId="54" xfId="3" applyNumberFormat="1" applyFont="1" applyBorder="1" applyAlignment="1">
      <alignment horizontal="center" vertical="center"/>
    </xf>
    <xf numFmtId="0" fontId="6" fillId="0" borderId="0" xfId="4" applyFont="1" applyAlignment="1">
      <alignment horizontal="center" vertical="center"/>
    </xf>
    <xf numFmtId="3" fontId="6" fillId="2" borderId="1" xfId="5" applyNumberFormat="1" applyFont="1" applyFill="1" applyBorder="1" applyAlignment="1">
      <alignment vertical="center"/>
    </xf>
    <xf numFmtId="3" fontId="6" fillId="0" borderId="55" xfId="4" applyNumberFormat="1" applyFont="1" applyBorder="1" applyAlignment="1">
      <alignment vertical="center"/>
    </xf>
    <xf numFmtId="164" fontId="6" fillId="0" borderId="3" xfId="3" applyNumberFormat="1" applyFont="1" applyBorder="1" applyAlignment="1">
      <alignment vertical="center"/>
    </xf>
    <xf numFmtId="3" fontId="6" fillId="0" borderId="4" xfId="4" applyNumberFormat="1" applyFont="1" applyBorder="1" applyAlignment="1">
      <alignment vertical="center"/>
    </xf>
    <xf numFmtId="3" fontId="6" fillId="2" borderId="21" xfId="5" applyNumberFormat="1" applyFont="1" applyFill="1" applyBorder="1" applyAlignment="1">
      <alignment vertical="center"/>
    </xf>
    <xf numFmtId="0" fontId="0" fillId="0" borderId="0" xfId="0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0" fillId="0" borderId="34" xfId="0" applyBorder="1" applyAlignment="1">
      <alignment vertical="center" wrapText="1"/>
    </xf>
    <xf numFmtId="3" fontId="0" fillId="0" borderId="11" xfId="0" applyNumberFormat="1" applyBorder="1" applyAlignment="1">
      <alignment vertical="center" wrapText="1"/>
    </xf>
    <xf numFmtId="3" fontId="0" fillId="0" borderId="12" xfId="0" applyNumberFormat="1" applyBorder="1" applyAlignment="1">
      <alignment vertical="center" wrapText="1"/>
    </xf>
    <xf numFmtId="164" fontId="3" fillId="0" borderId="13" xfId="3" applyNumberFormat="1" applyBorder="1" applyAlignment="1">
      <alignment horizontal="center" vertical="center" wrapText="1"/>
    </xf>
    <xf numFmtId="3" fontId="0" fillId="0" borderId="56" xfId="0" applyNumberFormat="1" applyBorder="1" applyAlignment="1">
      <alignment vertical="center" wrapText="1"/>
    </xf>
    <xf numFmtId="0" fontId="0" fillId="0" borderId="18" xfId="0" applyBorder="1" applyAlignment="1">
      <alignment vertical="center" wrapText="1"/>
    </xf>
    <xf numFmtId="3" fontId="0" fillId="0" borderId="2" xfId="0" applyNumberFormat="1" applyBorder="1" applyAlignment="1">
      <alignment vertical="center" wrapText="1"/>
    </xf>
    <xf numFmtId="164" fontId="3" fillId="0" borderId="3" xfId="3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vertical="center" wrapText="1"/>
    </xf>
    <xf numFmtId="3" fontId="0" fillId="0" borderId="5" xfId="0" applyNumberFormat="1" applyBorder="1" applyAlignment="1">
      <alignment vertical="center" wrapText="1"/>
    </xf>
    <xf numFmtId="0" fontId="0" fillId="0" borderId="22" xfId="0" applyBorder="1" applyAlignment="1">
      <alignment vertical="center" wrapText="1"/>
    </xf>
    <xf numFmtId="3" fontId="0" fillId="0" borderId="19" xfId="0" applyNumberFormat="1" applyBorder="1" applyAlignment="1">
      <alignment vertical="center" wrapText="1"/>
    </xf>
    <xf numFmtId="3" fontId="0" fillId="0" borderId="57" xfId="0" applyNumberFormat="1" applyBorder="1" applyAlignment="1">
      <alignment vertical="center" wrapText="1"/>
    </xf>
    <xf numFmtId="3" fontId="0" fillId="0" borderId="24" xfId="0" applyNumberForma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3" fontId="4" fillId="0" borderId="7" xfId="0" applyNumberFormat="1" applyFont="1" applyBorder="1" applyAlignment="1">
      <alignment vertical="center" wrapText="1"/>
    </xf>
    <xf numFmtId="3" fontId="4" fillId="0" borderId="15" xfId="0" applyNumberFormat="1" applyFont="1" applyBorder="1" applyAlignment="1">
      <alignment vertical="center" wrapText="1"/>
    </xf>
    <xf numFmtId="164" fontId="4" fillId="0" borderId="10" xfId="3" applyNumberFormat="1" applyFont="1" applyBorder="1" applyAlignment="1">
      <alignment horizontal="center" vertical="center" wrapText="1"/>
    </xf>
    <xf numFmtId="3" fontId="0" fillId="0" borderId="0" xfId="0" applyNumberFormat="1" applyAlignment="1">
      <alignment vertical="center" wrapText="1"/>
    </xf>
    <xf numFmtId="0" fontId="0" fillId="0" borderId="27" xfId="0" applyBorder="1" applyAlignment="1">
      <alignment vertical="center" wrapText="1"/>
    </xf>
    <xf numFmtId="3" fontId="0" fillId="0" borderId="25" xfId="0" applyNumberFormat="1" applyBorder="1" applyAlignment="1">
      <alignment vertical="center" wrapText="1"/>
    </xf>
    <xf numFmtId="3" fontId="0" fillId="0" borderId="30" xfId="0" applyNumberFormat="1" applyBorder="1" applyAlignment="1">
      <alignment vertical="center" wrapText="1"/>
    </xf>
    <xf numFmtId="164" fontId="3" fillId="0" borderId="31" xfId="3" applyNumberFormat="1" applyBorder="1" applyAlignment="1">
      <alignment horizontal="center" vertical="center" wrapText="1"/>
    </xf>
    <xf numFmtId="164" fontId="3" fillId="0" borderId="26" xfId="3" applyNumberFormat="1" applyBorder="1" applyAlignment="1">
      <alignment horizontal="center" vertical="center" wrapText="1"/>
    </xf>
    <xf numFmtId="3" fontId="0" fillId="0" borderId="27" xfId="0" applyNumberFormat="1" applyBorder="1" applyAlignment="1">
      <alignment vertical="center" wrapText="1"/>
    </xf>
    <xf numFmtId="164" fontId="3" fillId="0" borderId="5" xfId="3" applyNumberFormat="1" applyBorder="1" applyAlignment="1">
      <alignment horizontal="center" vertical="center" wrapText="1"/>
    </xf>
    <xf numFmtId="3" fontId="0" fillId="0" borderId="18" xfId="0" applyNumberFormat="1" applyBorder="1" applyAlignment="1">
      <alignment vertical="center" wrapText="1"/>
    </xf>
    <xf numFmtId="3" fontId="4" fillId="0" borderId="9" xfId="0" applyNumberFormat="1" applyFont="1" applyBorder="1" applyAlignment="1">
      <alignment vertical="center" wrapText="1"/>
    </xf>
    <xf numFmtId="164" fontId="4" fillId="0" borderId="8" xfId="3" applyNumberFormat="1" applyFont="1" applyBorder="1" applyAlignment="1">
      <alignment horizontal="center" vertical="center" wrapText="1"/>
    </xf>
    <xf numFmtId="0" fontId="4" fillId="0" borderId="38" xfId="0" applyFont="1" applyBorder="1" applyAlignment="1">
      <alignment vertical="center" wrapText="1"/>
    </xf>
    <xf numFmtId="3" fontId="4" fillId="0" borderId="58" xfId="0" applyNumberFormat="1" applyFont="1" applyBorder="1" applyAlignment="1">
      <alignment vertical="center" wrapText="1"/>
    </xf>
    <xf numFmtId="3" fontId="4" fillId="0" borderId="48" xfId="0" applyNumberFormat="1" applyFont="1" applyBorder="1" applyAlignment="1">
      <alignment vertical="center" wrapText="1"/>
    </xf>
    <xf numFmtId="164" fontId="4" fillId="0" borderId="49" xfId="3" applyNumberFormat="1" applyFont="1" applyBorder="1" applyAlignment="1">
      <alignment horizontal="center" vertical="center" wrapText="1"/>
    </xf>
    <xf numFmtId="3" fontId="4" fillId="0" borderId="59" xfId="0" applyNumberFormat="1" applyFont="1" applyBorder="1" applyAlignment="1">
      <alignment vertical="center" wrapText="1"/>
    </xf>
    <xf numFmtId="164" fontId="4" fillId="0" borderId="55" xfId="3" applyNumberFormat="1" applyFont="1" applyBorder="1" applyAlignment="1">
      <alignment horizontal="center" vertical="center" wrapText="1"/>
    </xf>
    <xf numFmtId="0" fontId="0" fillId="0" borderId="38" xfId="0" applyBorder="1" applyAlignment="1">
      <alignment vertical="center" wrapText="1"/>
    </xf>
    <xf numFmtId="3" fontId="0" fillId="0" borderId="58" xfId="0" applyNumberFormat="1" applyBorder="1" applyAlignment="1">
      <alignment vertical="center" wrapText="1"/>
    </xf>
    <xf numFmtId="3" fontId="0" fillId="0" borderId="48" xfId="0" applyNumberFormat="1" applyBorder="1" applyAlignment="1">
      <alignment vertical="center" wrapText="1"/>
    </xf>
    <xf numFmtId="164" fontId="3" fillId="0" borderId="49" xfId="3" applyNumberFormat="1" applyBorder="1" applyAlignment="1">
      <alignment horizontal="center" vertical="center" wrapText="1"/>
    </xf>
    <xf numFmtId="3" fontId="0" fillId="0" borderId="55" xfId="0" applyNumberFormat="1" applyBorder="1" applyAlignment="1">
      <alignment vertical="center" wrapText="1"/>
    </xf>
    <xf numFmtId="0" fontId="0" fillId="0" borderId="6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3" fontId="0" fillId="0" borderId="60" xfId="0" applyNumberFormat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4" fontId="0" fillId="0" borderId="60" xfId="0" applyNumberFormat="1" applyBorder="1" applyAlignment="1">
      <alignment horizontal="center" vertical="center"/>
    </xf>
    <xf numFmtId="4" fontId="0" fillId="0" borderId="4" xfId="0" applyNumberFormat="1" applyBorder="1" applyAlignment="1">
      <alignment horizontal="center" vertical="center"/>
    </xf>
    <xf numFmtId="3" fontId="0" fillId="0" borderId="60" xfId="0" applyNumberFormat="1" applyFill="1" applyBorder="1" applyAlignment="1">
      <alignment horizontal="center" vertical="center"/>
    </xf>
    <xf numFmtId="3" fontId="0" fillId="0" borderId="4" xfId="0" applyNumberFormat="1" applyFill="1" applyBorder="1" applyAlignment="1">
      <alignment horizontal="center" vertical="center"/>
    </xf>
    <xf numFmtId="4" fontId="0" fillId="0" borderId="60" xfId="0" applyNumberFormat="1" applyFill="1" applyBorder="1" applyAlignment="1">
      <alignment horizontal="center" vertical="center"/>
    </xf>
    <xf numFmtId="4" fontId="0" fillId="0" borderId="4" xfId="0" applyNumberFormat="1" applyFill="1" applyBorder="1" applyAlignment="1">
      <alignment horizontal="center" vertical="center"/>
    </xf>
    <xf numFmtId="3" fontId="4" fillId="0" borderId="60" xfId="0" applyNumberFormat="1" applyFont="1" applyBorder="1" applyAlignment="1">
      <alignment horizontal="center" vertical="center"/>
    </xf>
    <xf numFmtId="4" fontId="4" fillId="0" borderId="60" xfId="0" applyNumberFormat="1" applyFont="1" applyBorder="1" applyAlignment="1">
      <alignment horizontal="center" vertical="center"/>
    </xf>
    <xf numFmtId="4" fontId="4" fillId="0" borderId="4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3" fontId="0" fillId="0" borderId="1" xfId="0" applyNumberForma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0" fillId="0" borderId="61" xfId="0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0" fontId="0" fillId="0" borderId="64" xfId="0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18" xfId="0" applyFont="1" applyBorder="1" applyAlignment="1">
      <alignment vertical="center" wrapText="1"/>
    </xf>
    <xf numFmtId="166" fontId="4" fillId="0" borderId="0" xfId="0" applyNumberFormat="1" applyFont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3" fontId="4" fillId="0" borderId="35" xfId="0" applyNumberFormat="1" applyFont="1" applyBorder="1" applyAlignment="1">
      <alignment vertical="center"/>
    </xf>
    <xf numFmtId="3" fontId="0" fillId="0" borderId="4" xfId="0" applyNumberFormat="1" applyBorder="1" applyAlignment="1">
      <alignment vertical="center"/>
    </xf>
    <xf numFmtId="3" fontId="0" fillId="0" borderId="24" xfId="0" applyNumberFormat="1" applyBorder="1" applyAlignment="1">
      <alignment vertical="center"/>
    </xf>
    <xf numFmtId="3" fontId="4" fillId="0" borderId="47" xfId="0" applyNumberFormat="1" applyFont="1" applyBorder="1" applyAlignment="1">
      <alignment vertical="center"/>
    </xf>
    <xf numFmtId="3" fontId="4" fillId="0" borderId="2" xfId="0" applyNumberFormat="1" applyFont="1" applyBorder="1" applyAlignment="1">
      <alignment horizontal="center" vertical="center"/>
    </xf>
    <xf numFmtId="3" fontId="0" fillId="0" borderId="4" xfId="0" applyNumberFormat="1" applyFont="1" applyBorder="1" applyAlignment="1">
      <alignment vertical="center"/>
    </xf>
    <xf numFmtId="3" fontId="4" fillId="0" borderId="24" xfId="0" applyNumberFormat="1" applyFont="1" applyBorder="1" applyAlignment="1">
      <alignment vertical="center"/>
    </xf>
    <xf numFmtId="0" fontId="0" fillId="0" borderId="0" xfId="0" applyFont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3" fontId="0" fillId="0" borderId="0" xfId="0" applyNumberFormat="1" applyFont="1" applyAlignment="1">
      <alignment vertical="center" wrapText="1"/>
    </xf>
    <xf numFmtId="3" fontId="6" fillId="0" borderId="22" xfId="0" applyNumberFormat="1" applyFont="1" applyBorder="1" applyAlignment="1">
      <alignment vertical="center"/>
    </xf>
    <xf numFmtId="167" fontId="0" fillId="0" borderId="61" xfId="0" applyNumberFormat="1" applyBorder="1" applyAlignment="1">
      <alignment horizontal="center" vertical="center" wrapText="1"/>
    </xf>
    <xf numFmtId="167" fontId="0" fillId="0" borderId="60" xfId="0" applyNumberFormat="1" applyBorder="1" applyAlignment="1">
      <alignment horizontal="center" vertical="center" wrapText="1"/>
    </xf>
    <xf numFmtId="167" fontId="0" fillId="0" borderId="64" xfId="0" applyNumberFormat="1" applyBorder="1" applyAlignment="1">
      <alignment horizontal="center" vertical="center" wrapText="1"/>
    </xf>
    <xf numFmtId="167" fontId="0" fillId="0" borderId="18" xfId="0" applyNumberFormat="1" applyBorder="1" applyAlignment="1">
      <alignment horizontal="center" vertical="center" wrapText="1"/>
    </xf>
    <xf numFmtId="167" fontId="0" fillId="0" borderId="63" xfId="0" applyNumberFormat="1" applyBorder="1" applyAlignment="1">
      <alignment horizontal="center" vertical="center" wrapText="1"/>
    </xf>
    <xf numFmtId="165" fontId="0" fillId="0" borderId="61" xfId="0" applyNumberFormat="1" applyBorder="1" applyAlignment="1">
      <alignment horizontal="center" vertical="center" wrapText="1"/>
    </xf>
    <xf numFmtId="165" fontId="0" fillId="0" borderId="4" xfId="0" applyNumberFormat="1" applyBorder="1" applyAlignment="1">
      <alignment horizontal="center" vertical="center" wrapText="1"/>
    </xf>
    <xf numFmtId="165" fontId="0" fillId="0" borderId="60" xfId="0" applyNumberFormat="1" applyBorder="1" applyAlignment="1">
      <alignment horizontal="center" vertical="center" wrapText="1"/>
    </xf>
    <xf numFmtId="165" fontId="0" fillId="0" borderId="44" xfId="0" applyNumberFormat="1" applyBorder="1" applyAlignment="1">
      <alignment horizontal="center" vertical="center" wrapText="1"/>
    </xf>
    <xf numFmtId="165" fontId="0" fillId="0" borderId="65" xfId="0" applyNumberFormat="1" applyBorder="1" applyAlignment="1">
      <alignment horizontal="center" vertical="center" wrapText="1"/>
    </xf>
    <xf numFmtId="165" fontId="0" fillId="0" borderId="5" xfId="0" applyNumberFormat="1" applyBorder="1" applyAlignment="1">
      <alignment horizontal="center" vertical="center" wrapText="1"/>
    </xf>
    <xf numFmtId="165" fontId="0" fillId="0" borderId="64" xfId="0" applyNumberFormat="1" applyBorder="1" applyAlignment="1">
      <alignment horizontal="center" vertical="center" wrapText="1"/>
    </xf>
    <xf numFmtId="165" fontId="4" fillId="0" borderId="66" xfId="0" applyNumberFormat="1" applyFont="1" applyBorder="1" applyAlignment="1">
      <alignment horizontal="center" vertical="center" wrapText="1"/>
    </xf>
    <xf numFmtId="165" fontId="4" fillId="0" borderId="67" xfId="0" applyNumberFormat="1" applyFont="1" applyBorder="1" applyAlignment="1">
      <alignment horizontal="center" vertical="center" wrapText="1"/>
    </xf>
    <xf numFmtId="165" fontId="4" fillId="0" borderId="68" xfId="0" applyNumberFormat="1" applyFont="1" applyBorder="1" applyAlignment="1">
      <alignment horizontal="center" vertical="center" wrapText="1"/>
    </xf>
    <xf numFmtId="165" fontId="4" fillId="0" borderId="69" xfId="0" applyNumberFormat="1" applyFont="1" applyBorder="1" applyAlignment="1">
      <alignment horizontal="center" vertical="center" wrapText="1"/>
    </xf>
    <xf numFmtId="165" fontId="4" fillId="0" borderId="73" xfId="0" applyNumberFormat="1" applyFont="1" applyBorder="1" applyAlignment="1">
      <alignment horizontal="center" vertical="center" wrapText="1"/>
    </xf>
    <xf numFmtId="165" fontId="5" fillId="0" borderId="18" xfId="0" applyNumberFormat="1" applyFont="1" applyBorder="1" applyAlignment="1">
      <alignment horizontal="center" vertical="center" wrapText="1"/>
    </xf>
    <xf numFmtId="165" fontId="5" fillId="0" borderId="63" xfId="0" applyNumberFormat="1" applyFont="1" applyBorder="1" applyAlignment="1">
      <alignment horizontal="center" vertical="center" wrapText="1"/>
    </xf>
    <xf numFmtId="165" fontId="5" fillId="0" borderId="5" xfId="0" applyNumberFormat="1" applyFont="1" applyBorder="1" applyAlignment="1">
      <alignment horizontal="center" vertical="center" wrapText="1"/>
    </xf>
    <xf numFmtId="165" fontId="5" fillId="0" borderId="62" xfId="0" applyNumberFormat="1" applyFont="1" applyBorder="1" applyAlignment="1">
      <alignment horizontal="center" vertical="center" wrapText="1"/>
    </xf>
    <xf numFmtId="165" fontId="5" fillId="0" borderId="36" xfId="0" applyNumberFormat="1" applyFont="1" applyBorder="1" applyAlignment="1">
      <alignment horizontal="center" vertical="center" wrapText="1"/>
    </xf>
    <xf numFmtId="165" fontId="4" fillId="0" borderId="18" xfId="0" applyNumberFormat="1" applyFont="1" applyBorder="1" applyAlignment="1">
      <alignment horizontal="center" vertical="center" wrapText="1"/>
    </xf>
    <xf numFmtId="165" fontId="4" fillId="0" borderId="63" xfId="0" applyNumberFormat="1" applyFont="1" applyBorder="1" applyAlignment="1">
      <alignment horizontal="center" vertical="center" wrapText="1"/>
    </xf>
    <xf numFmtId="165" fontId="0" fillId="0" borderId="18" xfId="0" applyNumberFormat="1" applyBorder="1" applyAlignment="1">
      <alignment horizontal="center" vertical="center" wrapText="1"/>
    </xf>
    <xf numFmtId="165" fontId="11" fillId="0" borderId="14" xfId="0" applyNumberFormat="1" applyFont="1" applyBorder="1" applyAlignment="1">
      <alignment horizontal="center" vertical="center" wrapText="1"/>
    </xf>
    <xf numFmtId="165" fontId="11" fillId="0" borderId="73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" fontId="0" fillId="0" borderId="36" xfId="0" applyNumberFormat="1" applyFill="1" applyBorder="1" applyAlignment="1">
      <alignment horizontal="center" vertical="center"/>
    </xf>
    <xf numFmtId="3" fontId="4" fillId="0" borderId="11" xfId="0" applyNumberFormat="1" applyFont="1" applyFill="1" applyBorder="1" applyAlignment="1">
      <alignment vertical="center"/>
    </xf>
    <xf numFmtId="3" fontId="4" fillId="0" borderId="12" xfId="0" applyNumberFormat="1" applyFont="1" applyFill="1" applyBorder="1" applyAlignment="1">
      <alignment vertical="center"/>
    </xf>
    <xf numFmtId="3" fontId="4" fillId="0" borderId="5" xfId="0" applyNumberFormat="1" applyFont="1" applyFill="1" applyBorder="1" applyAlignment="1">
      <alignment vertical="center"/>
    </xf>
    <xf numFmtId="3" fontId="6" fillId="0" borderId="4" xfId="0" applyNumberFormat="1" applyFont="1" applyFill="1" applyBorder="1" applyAlignment="1">
      <alignment vertical="center"/>
    </xf>
    <xf numFmtId="3" fontId="6" fillId="0" borderId="1" xfId="0" applyNumberFormat="1" applyFont="1" applyFill="1" applyBorder="1" applyAlignment="1">
      <alignment vertical="center"/>
    </xf>
    <xf numFmtId="3" fontId="6" fillId="0" borderId="3" xfId="0" applyNumberFormat="1" applyFont="1" applyFill="1" applyBorder="1" applyAlignment="1">
      <alignment vertical="center"/>
    </xf>
    <xf numFmtId="3" fontId="4" fillId="0" borderId="4" xfId="0" applyNumberFormat="1" applyFont="1" applyFill="1" applyBorder="1" applyAlignment="1">
      <alignment vertical="center"/>
    </xf>
    <xf numFmtId="3" fontId="6" fillId="0" borderId="5" xfId="0" applyNumberFormat="1" applyFont="1" applyFill="1" applyBorder="1" applyAlignment="1">
      <alignment vertical="center"/>
    </xf>
    <xf numFmtId="3" fontId="6" fillId="0" borderId="24" xfId="0" applyNumberFormat="1" applyFont="1" applyFill="1" applyBorder="1" applyAlignment="1">
      <alignment vertical="center"/>
    </xf>
    <xf numFmtId="3" fontId="6" fillId="0" borderId="6" xfId="0" applyNumberFormat="1" applyFont="1" applyFill="1" applyBorder="1" applyAlignment="1">
      <alignment vertical="center"/>
    </xf>
    <xf numFmtId="3" fontId="4" fillId="0" borderId="14" xfId="0" applyNumberFormat="1" applyFont="1" applyFill="1" applyBorder="1" applyAlignment="1">
      <alignment vertical="center"/>
    </xf>
    <xf numFmtId="3" fontId="4" fillId="0" borderId="9" xfId="0" applyNumberFormat="1" applyFont="1" applyFill="1" applyBorder="1" applyAlignment="1">
      <alignment vertical="center"/>
    </xf>
    <xf numFmtId="3" fontId="4" fillId="0" borderId="16" xfId="0" applyNumberFormat="1" applyFont="1" applyFill="1" applyBorder="1" applyAlignment="1">
      <alignment vertical="center"/>
    </xf>
    <xf numFmtId="3" fontId="6" fillId="0" borderId="2" xfId="0" applyNumberFormat="1" applyFont="1" applyFill="1" applyBorder="1" applyAlignment="1">
      <alignment vertical="center"/>
    </xf>
    <xf numFmtId="3" fontId="5" fillId="0" borderId="1" xfId="0" applyNumberFormat="1" applyFont="1" applyFill="1" applyBorder="1" applyAlignment="1">
      <alignment vertical="center"/>
    </xf>
    <xf numFmtId="3" fontId="6" fillId="0" borderId="18" xfId="0" applyNumberFormat="1" applyFont="1" applyFill="1" applyBorder="1" applyAlignment="1">
      <alignment vertical="center"/>
    </xf>
    <xf numFmtId="3" fontId="4" fillId="0" borderId="2" xfId="0" applyNumberFormat="1" applyFont="1" applyFill="1" applyBorder="1" applyAlignment="1">
      <alignment vertical="center"/>
    </xf>
    <xf numFmtId="3" fontId="0" fillId="0" borderId="36" xfId="0" applyNumberFormat="1" applyFont="1" applyFill="1" applyBorder="1" applyAlignment="1">
      <alignment vertical="center"/>
    </xf>
    <xf numFmtId="3" fontId="4" fillId="0" borderId="22" xfId="0" applyNumberFormat="1" applyFont="1" applyFill="1" applyBorder="1" applyAlignment="1">
      <alignment vertical="center"/>
    </xf>
    <xf numFmtId="3" fontId="4" fillId="0" borderId="15" xfId="0" applyNumberFormat="1" applyFont="1" applyFill="1" applyBorder="1" applyAlignment="1">
      <alignment vertical="center"/>
    </xf>
    <xf numFmtId="3" fontId="4" fillId="0" borderId="10" xfId="0" applyNumberFormat="1" applyFont="1" applyFill="1" applyBorder="1" applyAlignment="1">
      <alignment vertical="center"/>
    </xf>
    <xf numFmtId="3" fontId="6" fillId="0" borderId="0" xfId="0" applyNumberFormat="1" applyFont="1" applyFill="1" applyAlignment="1">
      <alignment vertical="center"/>
    </xf>
    <xf numFmtId="3" fontId="0" fillId="0" borderId="1" xfId="0" applyNumberForma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Font="1" applyBorder="1" applyAlignment="1">
      <alignment horizontal="left" vertical="center"/>
    </xf>
    <xf numFmtId="0" fontId="0" fillId="0" borderId="1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4" fontId="0" fillId="0" borderId="62" xfId="0" applyNumberForma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3" fontId="0" fillId="0" borderId="36" xfId="0" applyNumberFormat="1" applyFont="1" applyBorder="1" applyAlignment="1">
      <alignment vertical="center"/>
    </xf>
    <xf numFmtId="10" fontId="0" fillId="0" borderId="0" xfId="3" applyNumberFormat="1" applyFont="1" applyAlignment="1">
      <alignment vertical="center"/>
    </xf>
    <xf numFmtId="10" fontId="0" fillId="0" borderId="0" xfId="0" applyNumberFormat="1" applyAlignment="1">
      <alignment vertical="center"/>
    </xf>
    <xf numFmtId="0" fontId="0" fillId="0" borderId="0" xfId="0" applyBorder="1"/>
    <xf numFmtId="0" fontId="13" fillId="0" borderId="0" xfId="0" applyFont="1" applyBorder="1"/>
    <xf numFmtId="0" fontId="14" fillId="0" borderId="0" xfId="0" applyFont="1" applyBorder="1" applyAlignment="1"/>
    <xf numFmtId="0" fontId="14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0" fontId="14" fillId="0" borderId="78" xfId="0" applyFont="1" applyBorder="1" applyAlignment="1"/>
    <xf numFmtId="0" fontId="4" fillId="0" borderId="79" xfId="0" applyFont="1" applyBorder="1" applyAlignment="1">
      <alignment horizontal="center"/>
    </xf>
    <xf numFmtId="0" fontId="4" fillId="0" borderId="79" xfId="0" applyFont="1" applyFill="1" applyBorder="1" applyAlignment="1">
      <alignment horizontal="center"/>
    </xf>
    <xf numFmtId="0" fontId="4" fillId="0" borderId="80" xfId="0" applyFont="1" applyFill="1" applyBorder="1" applyAlignment="1">
      <alignment horizontal="center"/>
    </xf>
    <xf numFmtId="0" fontId="4" fillId="0" borderId="81" xfId="0" applyFont="1" applyFill="1" applyBorder="1" applyAlignment="1">
      <alignment horizontal="center"/>
    </xf>
    <xf numFmtId="0" fontId="14" fillId="0" borderId="79" xfId="0" applyFont="1" applyBorder="1" applyAlignment="1"/>
    <xf numFmtId="0" fontId="14" fillId="0" borderId="79" xfId="0" applyFont="1" applyFill="1" applyBorder="1" applyAlignment="1"/>
    <xf numFmtId="0" fontId="14" fillId="0" borderId="80" xfId="0" applyFont="1" applyFill="1" applyBorder="1" applyAlignment="1"/>
    <xf numFmtId="0" fontId="14" fillId="0" borderId="81" xfId="0" applyFont="1" applyFill="1" applyBorder="1" applyAlignment="1"/>
    <xf numFmtId="0" fontId="6" fillId="0" borderId="78" xfId="0" applyFont="1" applyBorder="1"/>
    <xf numFmtId="3" fontId="13" fillId="0" borderId="79" xfId="0" applyNumberFormat="1" applyFont="1" applyBorder="1"/>
    <xf numFmtId="3" fontId="0" fillId="0" borderId="79" xfId="0" applyNumberFormat="1" applyBorder="1"/>
    <xf numFmtId="3" fontId="0" fillId="0" borderId="80" xfId="0" applyNumberFormat="1" applyBorder="1"/>
    <xf numFmtId="3" fontId="11" fillId="0" borderId="81" xfId="0" applyNumberFormat="1" applyFont="1" applyBorder="1"/>
    <xf numFmtId="3" fontId="13" fillId="0" borderId="79" xfId="0" applyNumberFormat="1" applyFont="1" applyBorder="1" applyAlignment="1"/>
    <xf numFmtId="3" fontId="13" fillId="0" borderId="79" xfId="0" applyNumberFormat="1" applyFont="1" applyBorder="1" applyAlignment="1">
      <alignment horizontal="right"/>
    </xf>
    <xf numFmtId="3" fontId="6" fillId="0" borderId="79" xfId="0" applyNumberFormat="1" applyFont="1" applyBorder="1"/>
    <xf numFmtId="3" fontId="0" fillId="0" borderId="81" xfId="0" applyNumberFormat="1" applyBorder="1"/>
    <xf numFmtId="0" fontId="4" fillId="0" borderId="78" xfId="0" applyFont="1" applyBorder="1"/>
    <xf numFmtId="3" fontId="14" fillId="0" borderId="79" xfId="0" applyNumberFormat="1" applyFont="1" applyBorder="1"/>
    <xf numFmtId="3" fontId="14" fillId="0" borderId="80" xfId="0" applyNumberFormat="1" applyFont="1" applyBorder="1"/>
    <xf numFmtId="3" fontId="14" fillId="0" borderId="81" xfId="0" applyNumberFormat="1" applyFont="1" applyBorder="1"/>
    <xf numFmtId="0" fontId="13" fillId="0" borderId="82" xfId="0" applyFont="1" applyBorder="1"/>
    <xf numFmtId="0" fontId="13" fillId="0" borderId="83" xfId="0" applyFont="1" applyBorder="1"/>
    <xf numFmtId="0" fontId="0" fillId="0" borderId="83" xfId="0" applyBorder="1"/>
    <xf numFmtId="0" fontId="0" fillId="0" borderId="84" xfId="0" applyBorder="1"/>
    <xf numFmtId="0" fontId="0" fillId="0" borderId="85" xfId="0" applyBorder="1"/>
    <xf numFmtId="0" fontId="15" fillId="0" borderId="0" xfId="0" applyFont="1"/>
    <xf numFmtId="0" fontId="0" fillId="0" borderId="25" xfId="0" applyBorder="1"/>
    <xf numFmtId="0" fontId="0" fillId="0" borderId="30" xfId="0" applyBorder="1"/>
    <xf numFmtId="0" fontId="4" fillId="0" borderId="30" xfId="0" applyFont="1" applyBorder="1"/>
    <xf numFmtId="0" fontId="4" fillId="0" borderId="31" xfId="0" applyFont="1" applyBorder="1"/>
    <xf numFmtId="0" fontId="0" fillId="0" borderId="2" xfId="0" applyBorder="1"/>
    <xf numFmtId="0" fontId="4" fillId="0" borderId="1" xfId="0" applyFont="1" applyBorder="1"/>
    <xf numFmtId="0" fontId="0" fillId="0" borderId="1" xfId="0" applyBorder="1"/>
    <xf numFmtId="0" fontId="0" fillId="0" borderId="3" xfId="0" applyBorder="1"/>
    <xf numFmtId="0" fontId="11" fillId="0" borderId="2" xfId="0" applyFont="1" applyBorder="1"/>
    <xf numFmtId="3" fontId="0" fillId="0" borderId="3" xfId="0" applyNumberFormat="1" applyBorder="1"/>
    <xf numFmtId="0" fontId="0" fillId="0" borderId="1" xfId="0" applyFont="1" applyBorder="1"/>
    <xf numFmtId="3" fontId="0" fillId="0" borderId="0" xfId="0" applyNumberFormat="1"/>
    <xf numFmtId="0" fontId="8" fillId="0" borderId="1" xfId="0" applyFont="1" applyBorder="1"/>
    <xf numFmtId="3" fontId="8" fillId="0" borderId="3" xfId="0" applyNumberFormat="1" applyFont="1" applyBorder="1"/>
    <xf numFmtId="0" fontId="4" fillId="0" borderId="2" xfId="0" applyFont="1" applyBorder="1"/>
    <xf numFmtId="0" fontId="4" fillId="0" borderId="19" xfId="0" applyFont="1" applyBorder="1"/>
    <xf numFmtId="0" fontId="0" fillId="0" borderId="6" xfId="0" applyBorder="1"/>
    <xf numFmtId="3" fontId="0" fillId="0" borderId="20" xfId="0" applyNumberFormat="1" applyBorder="1"/>
    <xf numFmtId="0" fontId="11" fillId="0" borderId="19" xfId="0" applyFont="1" applyBorder="1"/>
    <xf numFmtId="0" fontId="0" fillId="0" borderId="19" xfId="0" applyBorder="1"/>
    <xf numFmtId="0" fontId="4" fillId="0" borderId="6" xfId="0" applyFont="1" applyBorder="1"/>
    <xf numFmtId="3" fontId="4" fillId="0" borderId="20" xfId="0" applyNumberFormat="1" applyFont="1" applyBorder="1"/>
    <xf numFmtId="0" fontId="0" fillId="0" borderId="24" xfId="0" applyBorder="1"/>
    <xf numFmtId="3" fontId="0" fillId="0" borderId="24" xfId="0" applyNumberFormat="1" applyBorder="1"/>
    <xf numFmtId="0" fontId="0" fillId="0" borderId="46" xfId="0" applyBorder="1"/>
    <xf numFmtId="3" fontId="0" fillId="0" borderId="46" xfId="0" applyNumberFormat="1" applyBorder="1"/>
    <xf numFmtId="0" fontId="4" fillId="0" borderId="11" xfId="0" applyFont="1" applyBorder="1"/>
    <xf numFmtId="0" fontId="4" fillId="0" borderId="12" xfId="0" applyFont="1" applyBorder="1"/>
    <xf numFmtId="0" fontId="0" fillId="0" borderId="12" xfId="0" applyBorder="1"/>
    <xf numFmtId="3" fontId="0" fillId="0" borderId="13" xfId="0" applyNumberFormat="1" applyBorder="1"/>
    <xf numFmtId="3" fontId="0" fillId="0" borderId="1" xfId="0" applyNumberFormat="1" applyBorder="1"/>
    <xf numFmtId="0" fontId="0" fillId="0" borderId="7" xfId="0" applyBorder="1"/>
    <xf numFmtId="0" fontId="0" fillId="0" borderId="9" xfId="0" applyBorder="1"/>
    <xf numFmtId="0" fontId="11" fillId="0" borderId="9" xfId="0" applyFont="1" applyBorder="1"/>
    <xf numFmtId="3" fontId="11" fillId="0" borderId="10" xfId="0" applyNumberFormat="1" applyFont="1" applyBorder="1"/>
    <xf numFmtId="0" fontId="4" fillId="0" borderId="25" xfId="0" applyFont="1" applyBorder="1"/>
    <xf numFmtId="3" fontId="0" fillId="0" borderId="31" xfId="0" applyNumberFormat="1" applyBorder="1"/>
    <xf numFmtId="0" fontId="4" fillId="0" borderId="86" xfId="0" applyFont="1" applyBorder="1"/>
    <xf numFmtId="0" fontId="0" fillId="0" borderId="23" xfId="0" applyBorder="1"/>
    <xf numFmtId="3" fontId="0" fillId="0" borderId="87" xfId="0" applyNumberFormat="1" applyBorder="1"/>
    <xf numFmtId="0" fontId="4" fillId="0" borderId="0" xfId="0" applyFont="1"/>
    <xf numFmtId="3" fontId="4" fillId="0" borderId="49" xfId="0" applyNumberFormat="1" applyFont="1" applyBorder="1"/>
    <xf numFmtId="3" fontId="11" fillId="0" borderId="0" xfId="0" applyNumberFormat="1" applyFont="1"/>
    <xf numFmtId="0" fontId="4" fillId="0" borderId="0" xfId="0" applyFont="1" applyBorder="1"/>
    <xf numFmtId="0" fontId="11" fillId="0" borderId="0" xfId="0" applyFont="1" applyBorder="1"/>
    <xf numFmtId="3" fontId="0" fillId="0" borderId="0" xfId="0" applyNumberFormat="1" applyBorder="1"/>
    <xf numFmtId="3" fontId="4" fillId="0" borderId="0" xfId="0" applyNumberFormat="1" applyFont="1" applyBorder="1"/>
    <xf numFmtId="3" fontId="11" fillId="0" borderId="0" xfId="0" applyNumberFormat="1" applyFont="1" applyBorder="1"/>
    <xf numFmtId="0" fontId="17" fillId="0" borderId="0" xfId="6" applyAlignment="1">
      <alignment vertical="center"/>
    </xf>
    <xf numFmtId="0" fontId="20" fillId="0" borderId="7" xfId="6" applyNumberFormat="1" applyFont="1" applyFill="1" applyBorder="1" applyAlignment="1" applyProtection="1">
      <alignment horizontal="center" vertical="center"/>
    </xf>
    <xf numFmtId="0" fontId="20" fillId="0" borderId="9" xfId="6" applyNumberFormat="1" applyFont="1" applyFill="1" applyBorder="1" applyAlignment="1" applyProtection="1">
      <alignment horizontal="center" vertical="center"/>
    </xf>
    <xf numFmtId="0" fontId="18" fillId="0" borderId="9" xfId="6" applyNumberFormat="1" applyFont="1" applyFill="1" applyBorder="1" applyAlignment="1" applyProtection="1">
      <alignment horizontal="center" vertical="center"/>
    </xf>
    <xf numFmtId="14" fontId="21" fillId="0" borderId="9" xfId="6" applyNumberFormat="1" applyFont="1" applyFill="1" applyBorder="1" applyAlignment="1" applyProtection="1">
      <alignment horizontal="center" vertical="center" wrapText="1"/>
    </xf>
    <xf numFmtId="14" fontId="21" fillId="0" borderId="16" xfId="6" applyNumberFormat="1" applyFont="1" applyFill="1" applyBorder="1" applyAlignment="1" applyProtection="1">
      <alignment horizontal="center" vertical="center" wrapText="1"/>
    </xf>
    <xf numFmtId="0" fontId="20" fillId="0" borderId="2" xfId="6" applyNumberFormat="1" applyFont="1" applyFill="1" applyBorder="1" applyProtection="1"/>
    <xf numFmtId="0" fontId="20" fillId="0" borderId="1" xfId="6" applyNumberFormat="1" applyFont="1" applyFill="1" applyBorder="1" applyAlignment="1" applyProtection="1">
      <alignment horizontal="left"/>
    </xf>
    <xf numFmtId="3" fontId="22" fillId="0" borderId="12" xfId="6" applyNumberFormat="1" applyFont="1" applyFill="1" applyBorder="1" applyProtection="1"/>
    <xf numFmtId="3" fontId="22" fillId="0" borderId="43" xfId="6" applyNumberFormat="1" applyFont="1" applyFill="1" applyBorder="1" applyProtection="1"/>
    <xf numFmtId="0" fontId="17" fillId="0" borderId="0" xfId="6"/>
    <xf numFmtId="0" fontId="23" fillId="0" borderId="2" xfId="6" applyNumberFormat="1" applyFont="1" applyFill="1" applyBorder="1" applyProtection="1"/>
    <xf numFmtId="0" fontId="24" fillId="0" borderId="1" xfId="6" applyNumberFormat="1" applyFont="1" applyFill="1" applyBorder="1" applyAlignment="1" applyProtection="1">
      <alignment horizontal="left"/>
    </xf>
    <xf numFmtId="3" fontId="22" fillId="0" borderId="1" xfId="6" applyNumberFormat="1" applyFont="1" applyFill="1" applyBorder="1" applyProtection="1"/>
    <xf numFmtId="3" fontId="22" fillId="0" borderId="44" xfId="6" applyNumberFormat="1" applyFont="1" applyFill="1" applyBorder="1" applyProtection="1"/>
    <xf numFmtId="0" fontId="25" fillId="0" borderId="2" xfId="6" applyNumberFormat="1" applyFont="1" applyFill="1" applyBorder="1" applyProtection="1"/>
    <xf numFmtId="0" fontId="25" fillId="0" borderId="1" xfId="6" applyNumberFormat="1" applyFont="1" applyFill="1" applyBorder="1" applyAlignment="1" applyProtection="1">
      <alignment horizontal="left"/>
    </xf>
    <xf numFmtId="3" fontId="26" fillId="0" borderId="1" xfId="6" applyNumberFormat="1" applyFont="1" applyFill="1" applyBorder="1" applyProtection="1">
      <protection locked="0"/>
    </xf>
    <xf numFmtId="3" fontId="26" fillId="0" borderId="44" xfId="6" applyNumberFormat="1" applyFont="1" applyFill="1" applyBorder="1" applyProtection="1">
      <protection locked="0"/>
    </xf>
    <xf numFmtId="3" fontId="17" fillId="0" borderId="0" xfId="6" applyNumberFormat="1"/>
    <xf numFmtId="0" fontId="25" fillId="0" borderId="2" xfId="6" applyNumberFormat="1" applyFont="1" applyFill="1" applyBorder="1" applyAlignment="1" applyProtection="1">
      <alignment vertical="center" wrapText="1"/>
    </xf>
    <xf numFmtId="0" fontId="25" fillId="0" borderId="1" xfId="6" applyNumberFormat="1" applyFont="1" applyFill="1" applyBorder="1" applyAlignment="1" applyProtection="1">
      <alignment vertical="center" wrapText="1"/>
    </xf>
    <xf numFmtId="3" fontId="26" fillId="0" borderId="1" xfId="6" applyNumberFormat="1" applyFont="1" applyFill="1" applyBorder="1" applyAlignment="1" applyProtection="1">
      <alignment vertical="center" wrapText="1"/>
      <protection locked="0"/>
    </xf>
    <xf numFmtId="3" fontId="26" fillId="0" borderId="44" xfId="6" applyNumberFormat="1" applyFont="1" applyFill="1" applyBorder="1" applyAlignment="1" applyProtection="1">
      <alignment vertical="center" wrapText="1"/>
      <protection locked="0"/>
    </xf>
    <xf numFmtId="0" fontId="25" fillId="0" borderId="1" xfId="6" applyNumberFormat="1" applyFont="1" applyFill="1" applyBorder="1" applyAlignment="1" applyProtection="1">
      <alignment horizontal="left" wrapText="1"/>
    </xf>
    <xf numFmtId="0" fontId="24" fillId="0" borderId="2" xfId="6" applyNumberFormat="1" applyFont="1" applyFill="1" applyBorder="1" applyProtection="1"/>
    <xf numFmtId="0" fontId="20" fillId="0" borderId="7" xfId="6" applyNumberFormat="1" applyFont="1" applyFill="1" applyBorder="1" applyProtection="1"/>
    <xf numFmtId="0" fontId="20" fillId="0" borderId="9" xfId="6" applyNumberFormat="1" applyFont="1" applyFill="1" applyBorder="1" applyProtection="1"/>
    <xf numFmtId="0" fontId="20" fillId="0" borderId="9" xfId="6" applyNumberFormat="1" applyFont="1" applyFill="1" applyBorder="1" applyAlignment="1" applyProtection="1">
      <alignment horizontal="left"/>
    </xf>
    <xf numFmtId="3" fontId="22" fillId="0" borderId="9" xfId="6" applyNumberFormat="1" applyFont="1" applyFill="1" applyBorder="1" applyProtection="1"/>
    <xf numFmtId="3" fontId="22" fillId="0" borderId="16" xfId="6" applyNumberFormat="1" applyFont="1" applyFill="1" applyBorder="1" applyProtection="1"/>
    <xf numFmtId="0" fontId="25" fillId="0" borderId="0" xfId="6" applyNumberFormat="1" applyFont="1" applyFill="1" applyProtection="1"/>
    <xf numFmtId="0" fontId="26" fillId="0" borderId="0" xfId="6" applyNumberFormat="1" applyFont="1" applyFill="1" applyProtection="1"/>
    <xf numFmtId="14" fontId="27" fillId="0" borderId="9" xfId="6" applyNumberFormat="1" applyFont="1" applyFill="1" applyBorder="1" applyAlignment="1" applyProtection="1">
      <alignment horizontal="center" vertical="center" wrapText="1"/>
    </xf>
    <xf numFmtId="14" fontId="27" fillId="0" borderId="16" xfId="6" applyNumberFormat="1" applyFont="1" applyFill="1" applyBorder="1" applyAlignment="1" applyProtection="1">
      <alignment horizontal="center" vertical="center" wrapText="1"/>
    </xf>
    <xf numFmtId="3" fontId="22" fillId="0" borderId="30" xfId="6" applyNumberFormat="1" applyFont="1" applyFill="1" applyBorder="1" applyProtection="1"/>
    <xf numFmtId="3" fontId="22" fillId="0" borderId="29" xfId="6" applyNumberFormat="1" applyFont="1" applyFill="1" applyBorder="1" applyProtection="1"/>
    <xf numFmtId="0" fontId="25" fillId="0" borderId="11" xfId="6" applyNumberFormat="1" applyFont="1" applyFill="1" applyBorder="1" applyProtection="1"/>
    <xf numFmtId="0" fontId="25" fillId="0" borderId="12" xfId="6" applyNumberFormat="1" applyFont="1" applyFill="1" applyBorder="1" applyAlignment="1" applyProtection="1">
      <alignment horizontal="left"/>
    </xf>
    <xf numFmtId="3" fontId="26" fillId="0" borderId="1" xfId="6" applyNumberFormat="1" applyFont="1" applyFill="1" applyBorder="1" applyProtection="1"/>
    <xf numFmtId="3" fontId="26" fillId="0" borderId="44" xfId="6" applyNumberFormat="1" applyFont="1" applyFill="1" applyBorder="1" applyProtection="1"/>
    <xf numFmtId="3" fontId="21" fillId="0" borderId="1" xfId="6" applyNumberFormat="1" applyFont="1" applyFill="1" applyBorder="1" applyProtection="1">
      <protection locked="0"/>
    </xf>
    <xf numFmtId="3" fontId="21" fillId="0" borderId="44" xfId="6" applyNumberFormat="1" applyFont="1" applyFill="1" applyBorder="1" applyProtection="1">
      <protection locked="0"/>
    </xf>
    <xf numFmtId="0" fontId="25" fillId="0" borderId="1" xfId="6" applyNumberFormat="1" applyFont="1" applyFill="1" applyBorder="1" applyProtection="1"/>
    <xf numFmtId="0" fontId="25" fillId="0" borderId="2" xfId="6" applyNumberFormat="1" applyFont="1" applyFill="1" applyBorder="1" applyAlignment="1" applyProtection="1">
      <alignment vertical="center"/>
    </xf>
    <xf numFmtId="0" fontId="25" fillId="0" borderId="1" xfId="6" applyNumberFormat="1" applyFont="1" applyFill="1" applyBorder="1" applyAlignment="1" applyProtection="1">
      <alignment vertical="center"/>
    </xf>
    <xf numFmtId="3" fontId="28" fillId="0" borderId="1" xfId="6" applyNumberFormat="1" applyFont="1" applyFill="1" applyBorder="1" applyProtection="1">
      <protection locked="0"/>
    </xf>
    <xf numFmtId="3" fontId="28" fillId="0" borderId="44" xfId="6" applyNumberFormat="1" applyFont="1" applyFill="1" applyBorder="1" applyProtection="1">
      <protection locked="0"/>
    </xf>
    <xf numFmtId="3" fontId="22" fillId="0" borderId="1" xfId="6" applyNumberFormat="1" applyFont="1" applyFill="1" applyBorder="1" applyProtection="1">
      <protection locked="0"/>
    </xf>
    <xf numFmtId="3" fontId="22" fillId="0" borderId="44" xfId="6" applyNumberFormat="1" applyFont="1" applyFill="1" applyBorder="1" applyProtection="1">
      <protection locked="0"/>
    </xf>
    <xf numFmtId="0" fontId="20" fillId="0" borderId="1" xfId="6" applyNumberFormat="1" applyFont="1" applyFill="1" applyBorder="1" applyProtection="1"/>
    <xf numFmtId="0" fontId="25" fillId="0" borderId="46" xfId="6" applyNumberFormat="1" applyFont="1" applyFill="1" applyBorder="1" applyProtection="1"/>
    <xf numFmtId="3" fontId="22" fillId="0" borderId="9" xfId="6" applyNumberFormat="1" applyFont="1" applyFill="1" applyBorder="1" applyProtection="1">
      <protection locked="0"/>
    </xf>
    <xf numFmtId="3" fontId="22" fillId="0" borderId="16" xfId="6" applyNumberFormat="1" applyFont="1" applyFill="1" applyBorder="1" applyProtection="1">
      <protection locked="0"/>
    </xf>
    <xf numFmtId="0" fontId="25" fillId="0" borderId="33" xfId="6" applyNumberFormat="1" applyFont="1" applyFill="1" applyBorder="1" applyProtection="1"/>
    <xf numFmtId="0" fontId="25" fillId="0" borderId="33" xfId="6" applyNumberFormat="1" applyFont="1" applyFill="1" applyBorder="1" applyAlignment="1" applyProtection="1">
      <alignment horizontal="left"/>
    </xf>
    <xf numFmtId="3" fontId="26" fillId="0" borderId="33" xfId="6" applyNumberFormat="1" applyFont="1" applyFill="1" applyBorder="1" applyProtection="1">
      <protection locked="0"/>
    </xf>
    <xf numFmtId="0" fontId="25" fillId="0" borderId="0" xfId="6" applyNumberFormat="1" applyFont="1" applyFill="1" applyBorder="1" applyProtection="1"/>
    <xf numFmtId="0" fontId="25" fillId="0" borderId="0" xfId="6" applyNumberFormat="1" applyFont="1" applyFill="1" applyBorder="1" applyAlignment="1" applyProtection="1">
      <alignment horizontal="left"/>
    </xf>
    <xf numFmtId="3" fontId="26" fillId="0" borderId="0" xfId="6" applyNumberFormat="1" applyFont="1" applyFill="1" applyBorder="1" applyProtection="1">
      <protection locked="0"/>
    </xf>
    <xf numFmtId="0" fontId="17" fillId="0" borderId="0" xfId="6" applyBorder="1"/>
    <xf numFmtId="0" fontId="23" fillId="0" borderId="0" xfId="6" applyNumberFormat="1" applyFont="1" applyFill="1" applyBorder="1" applyProtection="1"/>
    <xf numFmtId="0" fontId="24" fillId="0" borderId="0" xfId="6" applyNumberFormat="1" applyFont="1" applyFill="1" applyBorder="1" applyAlignment="1" applyProtection="1">
      <alignment horizontal="left"/>
    </xf>
    <xf numFmtId="3" fontId="22" fillId="0" borderId="0" xfId="6" applyNumberFormat="1" applyFont="1" applyFill="1" applyBorder="1" applyProtection="1"/>
    <xf numFmtId="0" fontId="17" fillId="0" borderId="0" xfId="6" applyFill="1" applyBorder="1"/>
    <xf numFmtId="0" fontId="20" fillId="0" borderId="0" xfId="6" applyNumberFormat="1" applyFont="1" applyFill="1" applyBorder="1" applyProtection="1"/>
    <xf numFmtId="0" fontId="20" fillId="0" borderId="0" xfId="6" applyNumberFormat="1" applyFont="1" applyFill="1" applyBorder="1" applyAlignment="1" applyProtection="1">
      <alignment horizontal="left"/>
    </xf>
    <xf numFmtId="0" fontId="24" fillId="0" borderId="0" xfId="6" applyNumberFormat="1" applyFont="1" applyFill="1" applyBorder="1" applyProtection="1"/>
    <xf numFmtId="0" fontId="20" fillId="0" borderId="7" xfId="6" applyNumberFormat="1" applyFont="1" applyFill="1" applyBorder="1" applyAlignment="1" applyProtection="1">
      <alignment horizontal="center"/>
    </xf>
    <xf numFmtId="0" fontId="20" fillId="0" borderId="9" xfId="6" applyNumberFormat="1" applyFont="1" applyFill="1" applyBorder="1" applyAlignment="1" applyProtection="1">
      <alignment horizontal="center"/>
    </xf>
    <xf numFmtId="0" fontId="18" fillId="0" borderId="9" xfId="6" applyNumberFormat="1" applyFont="1" applyFill="1" applyBorder="1" applyAlignment="1" applyProtection="1">
      <alignment horizontal="center"/>
    </xf>
    <xf numFmtId="14" fontId="21" fillId="0" borderId="5" xfId="6" applyNumberFormat="1" applyFont="1" applyFill="1" applyBorder="1" applyAlignment="1" applyProtection="1">
      <alignment horizontal="center" vertical="center" wrapText="1"/>
    </xf>
    <xf numFmtId="14" fontId="21" fillId="0" borderId="3" xfId="6" applyNumberFormat="1" applyFont="1" applyFill="1" applyBorder="1" applyAlignment="1" applyProtection="1">
      <alignment horizontal="center" vertical="center" wrapText="1"/>
    </xf>
    <xf numFmtId="0" fontId="25" fillId="0" borderId="17" xfId="6" applyNumberFormat="1" applyFont="1" applyBorder="1" applyAlignment="1" applyProtection="1">
      <alignment horizontal="right"/>
    </xf>
    <xf numFmtId="0" fontId="25" fillId="0" borderId="12" xfId="6" applyNumberFormat="1" applyFont="1" applyBorder="1" applyAlignment="1" applyProtection="1">
      <alignment horizontal="left"/>
    </xf>
    <xf numFmtId="3" fontId="19" fillId="0" borderId="30" xfId="6" applyNumberFormat="1" applyFont="1" applyFill="1" applyBorder="1" applyProtection="1"/>
    <xf numFmtId="3" fontId="19" fillId="0" borderId="29" xfId="6" applyNumberFormat="1" applyFont="1" applyFill="1" applyBorder="1" applyProtection="1"/>
    <xf numFmtId="3" fontId="19" fillId="0" borderId="1" xfId="6" applyNumberFormat="1" applyFont="1" applyFill="1" applyBorder="1" applyProtection="1"/>
    <xf numFmtId="3" fontId="19" fillId="0" borderId="44" xfId="6" applyNumberFormat="1" applyFont="1" applyFill="1" applyBorder="1" applyProtection="1"/>
    <xf numFmtId="0" fontId="25" fillId="0" borderId="4" xfId="6" applyNumberFormat="1" applyFont="1" applyBorder="1" applyAlignment="1" applyProtection="1">
      <alignment horizontal="right"/>
    </xf>
    <xf numFmtId="0" fontId="25" fillId="0" borderId="1" xfId="6" applyNumberFormat="1" applyFont="1" applyBorder="1" applyAlignment="1" applyProtection="1">
      <alignment horizontal="left"/>
    </xf>
    <xf numFmtId="0" fontId="29" fillId="0" borderId="2" xfId="6" applyNumberFormat="1" applyFont="1" applyFill="1" applyBorder="1" applyProtection="1"/>
    <xf numFmtId="0" fontId="29" fillId="0" borderId="4" xfId="6" applyNumberFormat="1" applyFont="1" applyFill="1" applyBorder="1" applyAlignment="1" applyProtection="1">
      <alignment horizontal="left"/>
    </xf>
    <xf numFmtId="0" fontId="29" fillId="0" borderId="1" xfId="6" applyNumberFormat="1" applyFont="1" applyFill="1" applyBorder="1" applyAlignment="1" applyProtection="1">
      <alignment horizontal="left"/>
    </xf>
    <xf numFmtId="3" fontId="19" fillId="0" borderId="1" xfId="6" applyNumberFormat="1" applyFont="1" applyFill="1" applyBorder="1" applyProtection="1">
      <protection locked="0"/>
    </xf>
    <xf numFmtId="3" fontId="19" fillId="0" borderId="44" xfId="6" applyNumberFormat="1" applyFont="1" applyFill="1" applyBorder="1" applyProtection="1">
      <protection locked="0"/>
    </xf>
    <xf numFmtId="3" fontId="19" fillId="2" borderId="1" xfId="6" applyNumberFormat="1" applyFont="1" applyFill="1" applyBorder="1" applyProtection="1">
      <protection locked="0"/>
    </xf>
    <xf numFmtId="3" fontId="19" fillId="2" borderId="44" xfId="6" applyNumberFormat="1" applyFont="1" applyFill="1" applyBorder="1" applyProtection="1">
      <protection locked="0"/>
    </xf>
    <xf numFmtId="3" fontId="21" fillId="0" borderId="1" xfId="6" applyNumberFormat="1" applyFont="1" applyFill="1" applyBorder="1" applyProtection="1"/>
    <xf numFmtId="3" fontId="21" fillId="0" borderId="44" xfId="6" applyNumberFormat="1" applyFont="1" applyFill="1" applyBorder="1" applyProtection="1"/>
    <xf numFmtId="0" fontId="20" fillId="0" borderId="4" xfId="6" applyNumberFormat="1" applyFont="1" applyBorder="1" applyAlignment="1" applyProtection="1">
      <alignment horizontal="right"/>
    </xf>
    <xf numFmtId="0" fontId="20" fillId="0" borderId="1" xfId="6" applyNumberFormat="1" applyFont="1" applyBorder="1" applyAlignment="1" applyProtection="1">
      <alignment horizontal="left"/>
    </xf>
    <xf numFmtId="3" fontId="21" fillId="0" borderId="1" xfId="6" applyNumberFormat="1" applyFont="1" applyFill="1" applyBorder="1" applyAlignment="1" applyProtection="1">
      <alignment vertical="center" wrapText="1"/>
      <protection locked="0"/>
    </xf>
    <xf numFmtId="3" fontId="21" fillId="0" borderId="44" xfId="6" applyNumberFormat="1" applyFont="1" applyFill="1" applyBorder="1" applyAlignment="1" applyProtection="1">
      <alignment vertical="center" wrapText="1"/>
      <protection locked="0"/>
    </xf>
    <xf numFmtId="0" fontId="25" fillId="0" borderId="7" xfId="6" applyNumberFormat="1" applyFont="1" applyFill="1" applyBorder="1" applyProtection="1"/>
    <xf numFmtId="0" fontId="20" fillId="0" borderId="15" xfId="6" applyNumberFormat="1" applyFont="1" applyBorder="1" applyAlignment="1" applyProtection="1">
      <alignment horizontal="right"/>
    </xf>
    <xf numFmtId="0" fontId="20" fillId="0" borderId="9" xfId="6" applyNumberFormat="1" applyFont="1" applyBorder="1" applyAlignment="1" applyProtection="1">
      <alignment horizontal="left"/>
    </xf>
    <xf numFmtId="3" fontId="21" fillId="0" borderId="9" xfId="6" applyNumberFormat="1" applyFont="1" applyFill="1" applyBorder="1" applyProtection="1"/>
    <xf numFmtId="3" fontId="21" fillId="0" borderId="16" xfId="6" applyNumberFormat="1" applyFont="1" applyFill="1" applyBorder="1" applyProtection="1"/>
    <xf numFmtId="3" fontId="25" fillId="0" borderId="0" xfId="6" applyNumberFormat="1" applyFont="1" applyFill="1" applyBorder="1" applyProtection="1">
      <protection locked="0"/>
    </xf>
    <xf numFmtId="3" fontId="20" fillId="0" borderId="0" xfId="6" applyNumberFormat="1" applyFont="1" applyFill="1" applyBorder="1" applyProtection="1"/>
    <xf numFmtId="0" fontId="30" fillId="0" borderId="0" xfId="7" applyFont="1"/>
    <xf numFmtId="0" fontId="1" fillId="0" borderId="0" xfId="7"/>
    <xf numFmtId="0" fontId="31" fillId="0" borderId="0" xfId="7" applyFont="1"/>
    <xf numFmtId="0" fontId="32" fillId="0" borderId="0" xfId="7" applyFont="1"/>
    <xf numFmtId="0" fontId="33" fillId="0" borderId="0" xfId="7" applyFont="1"/>
    <xf numFmtId="0" fontId="34" fillId="0" borderId="0" xfId="7" applyFont="1" applyAlignment="1">
      <alignment horizontal="right"/>
    </xf>
    <xf numFmtId="3" fontId="12" fillId="0" borderId="0" xfId="7" applyNumberFormat="1" applyFont="1" applyAlignment="1">
      <alignment horizontal="right"/>
    </xf>
    <xf numFmtId="3" fontId="12" fillId="0" borderId="0" xfId="7" applyNumberFormat="1" applyFont="1"/>
    <xf numFmtId="10" fontId="12" fillId="0" borderId="0" xfId="7" applyNumberFormat="1" applyFont="1"/>
    <xf numFmtId="3" fontId="1" fillId="0" borderId="0" xfId="7" applyNumberFormat="1" applyAlignment="1">
      <alignment horizontal="right"/>
    </xf>
    <xf numFmtId="10" fontId="1" fillId="0" borderId="0" xfId="7" applyNumberFormat="1"/>
    <xf numFmtId="3" fontId="1" fillId="0" borderId="0" xfId="7" applyNumberFormat="1"/>
    <xf numFmtId="3" fontId="34" fillId="0" borderId="0" xfId="7" applyNumberFormat="1" applyFont="1" applyAlignment="1">
      <alignment horizontal="right"/>
    </xf>
    <xf numFmtId="10" fontId="1" fillId="0" borderId="0" xfId="7" applyNumberFormat="1" applyAlignment="1">
      <alignment horizontal="right"/>
    </xf>
    <xf numFmtId="3" fontId="33" fillId="0" borderId="0" xfId="7" applyNumberFormat="1" applyFont="1"/>
    <xf numFmtId="0" fontId="12" fillId="0" borderId="0" xfId="7" applyFont="1"/>
    <xf numFmtId="0" fontId="6" fillId="0" borderId="45" xfId="4" applyFont="1" applyBorder="1" applyAlignment="1">
      <alignment horizontal="left" vertical="center"/>
    </xf>
    <xf numFmtId="0" fontId="6" fillId="0" borderId="46" xfId="4" applyFont="1" applyBorder="1" applyAlignment="1">
      <alignment horizontal="left" vertical="center"/>
    </xf>
    <xf numFmtId="0" fontId="6" fillId="0" borderId="52" xfId="4" applyFont="1" applyBorder="1" applyAlignment="1">
      <alignment horizontal="left" vertical="center"/>
    </xf>
    <xf numFmtId="0" fontId="6" fillId="0" borderId="18" xfId="4" applyFont="1" applyBorder="1" applyAlignment="1">
      <alignment horizontal="left" vertical="center"/>
    </xf>
    <xf numFmtId="0" fontId="6" fillId="0" borderId="36" xfId="4" applyFont="1" applyBorder="1" applyAlignment="1">
      <alignment horizontal="left" vertical="center"/>
    </xf>
    <xf numFmtId="0" fontId="6" fillId="0" borderId="44" xfId="4" applyFont="1" applyBorder="1" applyAlignment="1">
      <alignment horizontal="left" vertical="center"/>
    </xf>
    <xf numFmtId="0" fontId="6" fillId="0" borderId="32" xfId="4" applyFont="1" applyBorder="1" applyAlignment="1">
      <alignment horizontal="left" vertical="center"/>
    </xf>
    <xf numFmtId="0" fontId="6" fillId="0" borderId="33" xfId="4" applyFont="1" applyBorder="1" applyAlignment="1">
      <alignment horizontal="left" vertical="center"/>
    </xf>
    <xf numFmtId="0" fontId="6" fillId="0" borderId="37" xfId="4" applyFont="1" applyBorder="1" applyAlignment="1">
      <alignment horizontal="left" vertical="center"/>
    </xf>
    <xf numFmtId="0" fontId="6" fillId="0" borderId="18" xfId="4" applyFont="1" applyBorder="1" applyAlignment="1">
      <alignment vertical="center"/>
    </xf>
    <xf numFmtId="0" fontId="6" fillId="0" borderId="36" xfId="4" applyFont="1" applyBorder="1" applyAlignment="1">
      <alignment vertical="center"/>
    </xf>
    <xf numFmtId="0" fontId="6" fillId="0" borderId="44" xfId="4" applyFont="1" applyBorder="1" applyAlignment="1">
      <alignment vertical="center"/>
    </xf>
    <xf numFmtId="0" fontId="6" fillId="0" borderId="34" xfId="4" applyFont="1" applyBorder="1" applyAlignment="1">
      <alignment horizontal="left" vertical="center"/>
    </xf>
    <xf numFmtId="0" fontId="6" fillId="0" borderId="35" xfId="4" applyFont="1" applyBorder="1" applyAlignment="1">
      <alignment horizontal="left" vertical="center"/>
    </xf>
    <xf numFmtId="0" fontId="6" fillId="0" borderId="32" xfId="4" applyFont="1" applyBorder="1" applyAlignment="1">
      <alignment horizontal="center" vertical="center"/>
    </xf>
    <xf numFmtId="0" fontId="6" fillId="0" borderId="33" xfId="4" applyFont="1" applyBorder="1" applyAlignment="1">
      <alignment horizontal="center" vertical="center"/>
    </xf>
    <xf numFmtId="0" fontId="6" fillId="0" borderId="37" xfId="4" applyFont="1" applyBorder="1" applyAlignment="1">
      <alignment horizontal="center" vertical="center"/>
    </xf>
    <xf numFmtId="0" fontId="6" fillId="0" borderId="41" xfId="4" applyFont="1" applyBorder="1" applyAlignment="1">
      <alignment horizontal="center" vertical="center"/>
    </xf>
    <xf numFmtId="0" fontId="6" fillId="0" borderId="0" xfId="4" applyFont="1" applyBorder="1" applyAlignment="1">
      <alignment horizontal="center" vertical="center"/>
    </xf>
    <xf numFmtId="0" fontId="6" fillId="0" borderId="42" xfId="4" applyFont="1" applyBorder="1" applyAlignment="1">
      <alignment horizontal="center" vertical="center"/>
    </xf>
    <xf numFmtId="0" fontId="6" fillId="0" borderId="34" xfId="4" applyFont="1" applyBorder="1" applyAlignment="1">
      <alignment horizontal="center" vertical="center"/>
    </xf>
    <xf numFmtId="0" fontId="6" fillId="0" borderId="35" xfId="4" applyFont="1" applyBorder="1" applyAlignment="1">
      <alignment horizontal="center" vertical="center"/>
    </xf>
    <xf numFmtId="0" fontId="6" fillId="0" borderId="43" xfId="4" applyFont="1" applyBorder="1" applyAlignment="1">
      <alignment horizontal="center" vertical="center"/>
    </xf>
    <xf numFmtId="0" fontId="6" fillId="0" borderId="38" xfId="4" applyFont="1" applyBorder="1" applyAlignment="1">
      <alignment horizontal="center" vertical="center"/>
    </xf>
    <xf numFmtId="0" fontId="6" fillId="0" borderId="39" xfId="4" applyFont="1" applyBorder="1" applyAlignment="1">
      <alignment horizontal="center" vertical="center"/>
    </xf>
    <xf numFmtId="0" fontId="6" fillId="0" borderId="40" xfId="4" applyFont="1" applyBorder="1" applyAlignment="1">
      <alignment horizontal="center" vertical="center"/>
    </xf>
    <xf numFmtId="0" fontId="6" fillId="0" borderId="27" xfId="4" applyFont="1" applyBorder="1" applyAlignment="1">
      <alignment horizontal="center" vertical="center"/>
    </xf>
    <xf numFmtId="0" fontId="6" fillId="0" borderId="28" xfId="4" applyFont="1" applyBorder="1" applyAlignment="1">
      <alignment horizontal="center" vertical="center"/>
    </xf>
    <xf numFmtId="0" fontId="6" fillId="0" borderId="29" xfId="4" applyFont="1" applyBorder="1" applyAlignment="1">
      <alignment horizontal="center" vertical="center"/>
    </xf>
    <xf numFmtId="3" fontId="0" fillId="0" borderId="0" xfId="0" applyNumberFormat="1" applyFont="1" applyAlignment="1">
      <alignment horizontal="center" vertical="center" wrapText="1"/>
    </xf>
    <xf numFmtId="0" fontId="0" fillId="0" borderId="32" xfId="0" applyBorder="1" applyAlignment="1">
      <alignment vertical="center" wrapText="1"/>
    </xf>
    <xf numFmtId="0" fontId="0" fillId="0" borderId="45" xfId="0" applyBorder="1" applyAlignment="1">
      <alignment vertical="center" wrapText="1"/>
    </xf>
    <xf numFmtId="0" fontId="0" fillId="0" borderId="25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6" fillId="0" borderId="28" xfId="0" applyNumberFormat="1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3" fontId="6" fillId="0" borderId="25" xfId="0" applyNumberFormat="1" applyFont="1" applyBorder="1" applyAlignment="1">
      <alignment horizontal="center" vertical="center" wrapText="1"/>
    </xf>
    <xf numFmtId="3" fontId="6" fillId="0" borderId="30" xfId="0" applyNumberFormat="1" applyFont="1" applyBorder="1" applyAlignment="1">
      <alignment horizontal="center" vertical="center" wrapText="1"/>
    </xf>
    <xf numFmtId="3" fontId="6" fillId="0" borderId="31" xfId="0" applyNumberFormat="1" applyFont="1" applyBorder="1" applyAlignment="1">
      <alignment horizontal="center" vertical="center" wrapText="1"/>
    </xf>
    <xf numFmtId="0" fontId="0" fillId="0" borderId="32" xfId="0" applyFont="1" applyBorder="1" applyAlignment="1">
      <alignment horizontal="center" vertical="center" wrapText="1"/>
    </xf>
    <xf numFmtId="0" fontId="0" fillId="0" borderId="37" xfId="0" applyFont="1" applyBorder="1" applyAlignment="1">
      <alignment horizontal="center" vertical="center" wrapText="1"/>
    </xf>
    <xf numFmtId="0" fontId="0" fillId="0" borderId="34" xfId="0" applyFont="1" applyBorder="1" applyAlignment="1">
      <alignment horizontal="center" vertical="center" wrapText="1"/>
    </xf>
    <xf numFmtId="0" fontId="0" fillId="0" borderId="43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72" xfId="0" applyBorder="1" applyAlignment="1">
      <alignment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0" fillId="0" borderId="34" xfId="0" applyBorder="1" applyAlignment="1">
      <alignment vertical="center" wrapText="1"/>
    </xf>
    <xf numFmtId="0" fontId="0" fillId="0" borderId="44" xfId="0" applyBorder="1" applyAlignment="1">
      <alignment horizontal="center" vertical="center" wrapText="1"/>
    </xf>
    <xf numFmtId="0" fontId="0" fillId="0" borderId="7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4" fillId="0" borderId="75" xfId="0" applyFont="1" applyBorder="1" applyAlignment="1"/>
    <xf numFmtId="0" fontId="14" fillId="0" borderId="76" xfId="0" applyFont="1" applyBorder="1" applyAlignment="1"/>
    <xf numFmtId="0" fontId="0" fillId="0" borderId="76" xfId="0" applyBorder="1" applyAlignment="1"/>
    <xf numFmtId="0" fontId="0" fillId="0" borderId="77" xfId="0" applyBorder="1" applyAlignment="1"/>
    <xf numFmtId="0" fontId="4" fillId="0" borderId="38" xfId="0" applyFont="1" applyBorder="1" applyAlignment="1"/>
    <xf numFmtId="0" fontId="0" fillId="0" borderId="39" xfId="0" applyBorder="1" applyAlignment="1"/>
    <xf numFmtId="0" fontId="0" fillId="0" borderId="40" xfId="0" applyBorder="1" applyAlignment="1"/>
    <xf numFmtId="0" fontId="4" fillId="0" borderId="0" xfId="0" applyFont="1" applyBorder="1" applyAlignment="1"/>
    <xf numFmtId="0" fontId="0" fillId="0" borderId="0" xfId="0" applyBorder="1" applyAlignment="1"/>
    <xf numFmtId="0" fontId="18" fillId="0" borderId="27" xfId="6" applyFont="1" applyBorder="1" applyAlignment="1">
      <alignment horizontal="center" vertical="center"/>
    </xf>
    <xf numFmtId="0" fontId="18" fillId="0" borderId="28" xfId="6" applyFont="1" applyBorder="1" applyAlignment="1">
      <alignment horizontal="center" vertical="center"/>
    </xf>
    <xf numFmtId="0" fontId="18" fillId="0" borderId="29" xfId="6" applyFont="1" applyBorder="1" applyAlignment="1">
      <alignment horizontal="center" vertical="center"/>
    </xf>
    <xf numFmtId="0" fontId="17" fillId="0" borderId="41" xfId="6" applyBorder="1" applyAlignment="1">
      <alignment horizontal="right" vertical="center"/>
    </xf>
    <xf numFmtId="0" fontId="17" fillId="0" borderId="0" xfId="6" applyAlignment="1">
      <alignment horizontal="right" vertical="center"/>
    </xf>
    <xf numFmtId="0" fontId="19" fillId="0" borderId="18" xfId="6" applyFont="1" applyBorder="1" applyAlignment="1">
      <alignment horizontal="center" vertical="center"/>
    </xf>
    <xf numFmtId="0" fontId="19" fillId="0" borderId="36" xfId="6" applyFont="1" applyBorder="1" applyAlignment="1">
      <alignment horizontal="center" vertical="center"/>
    </xf>
    <xf numFmtId="0" fontId="19" fillId="0" borderId="44" xfId="6" applyFont="1" applyBorder="1" applyAlignment="1">
      <alignment horizontal="center" vertical="center"/>
    </xf>
    <xf numFmtId="0" fontId="20" fillId="0" borderId="18" xfId="6" applyNumberFormat="1" applyFont="1" applyFill="1" applyBorder="1" applyAlignment="1" applyProtection="1">
      <alignment horizontal="center" vertical="center"/>
    </xf>
    <xf numFmtId="0" fontId="17" fillId="0" borderId="36" xfId="6" applyBorder="1" applyAlignment="1">
      <alignment horizontal="center" vertical="center"/>
    </xf>
    <xf numFmtId="0" fontId="17" fillId="0" borderId="4" xfId="6" applyBorder="1" applyAlignment="1">
      <alignment horizontal="center" vertical="center"/>
    </xf>
    <xf numFmtId="0" fontId="18" fillId="0" borderId="5" xfId="6" applyNumberFormat="1" applyFont="1" applyFill="1" applyBorder="1" applyAlignment="1" applyProtection="1">
      <alignment horizontal="center" vertical="center"/>
    </xf>
    <xf numFmtId="0" fontId="18" fillId="0" borderId="44" xfId="6" applyNumberFormat="1" applyFont="1" applyFill="1" applyBorder="1" applyAlignment="1" applyProtection="1">
      <alignment horizontal="center" vertical="center"/>
    </xf>
    <xf numFmtId="0" fontId="19" fillId="0" borderId="18" xfId="6" applyFont="1" applyBorder="1" applyAlignment="1">
      <alignment horizontal="center"/>
    </xf>
    <xf numFmtId="0" fontId="19" fillId="0" borderId="36" xfId="6" applyFont="1" applyBorder="1" applyAlignment="1">
      <alignment horizontal="center"/>
    </xf>
    <xf numFmtId="0" fontId="19" fillId="0" borderId="44" xfId="6" applyFont="1" applyBorder="1" applyAlignment="1">
      <alignment horizontal="center"/>
    </xf>
    <xf numFmtId="0" fontId="20" fillId="0" borderId="18" xfId="6" applyNumberFormat="1" applyFont="1" applyFill="1" applyBorder="1" applyAlignment="1" applyProtection="1">
      <alignment horizontal="center"/>
    </xf>
    <xf numFmtId="0" fontId="17" fillId="0" borderId="36" xfId="6" applyBorder="1" applyAlignment="1">
      <alignment horizontal="center"/>
    </xf>
    <xf numFmtId="0" fontId="17" fillId="0" borderId="4" xfId="6" applyBorder="1" applyAlignment="1">
      <alignment horizontal="center"/>
    </xf>
    <xf numFmtId="0" fontId="18" fillId="0" borderId="18" xfId="6" applyFont="1" applyBorder="1" applyAlignment="1">
      <alignment horizontal="center"/>
    </xf>
    <xf numFmtId="0" fontId="18" fillId="0" borderId="36" xfId="6" applyFont="1" applyBorder="1" applyAlignment="1">
      <alignment horizontal="center"/>
    </xf>
    <xf numFmtId="0" fontId="18" fillId="0" borderId="44" xfId="6" applyFont="1" applyBorder="1" applyAlignment="1">
      <alignment horizontal="center"/>
    </xf>
    <xf numFmtId="0" fontId="18" fillId="0" borderId="34" xfId="6" applyFont="1" applyBorder="1" applyAlignment="1">
      <alignment horizontal="center"/>
    </xf>
    <xf numFmtId="0" fontId="17" fillId="0" borderId="35" xfId="6" applyBorder="1" applyAlignment="1">
      <alignment horizontal="center"/>
    </xf>
    <xf numFmtId="0" fontId="17" fillId="0" borderId="43" xfId="6" applyBorder="1" applyAlignment="1">
      <alignment horizontal="center"/>
    </xf>
  </cellXfs>
  <cellStyles count="8">
    <cellStyle name="Normál" xfId="0" builtinId="0"/>
    <cellStyle name="Normál 2" xfId="2"/>
    <cellStyle name="Normál 3" xfId="7"/>
    <cellStyle name="Normal_1997os osztalékkorlát" xfId="1"/>
    <cellStyle name="Normál_3STATHO" xfId="5"/>
    <cellStyle name="Normál_6STATHO" xfId="4"/>
    <cellStyle name="Normál_KHTmérleg2008év" xfId="6"/>
    <cellStyle name="Százalék" xfId="3" builtinId="5"/>
  </cellStyles>
  <dxfs count="4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lor theme="8" tint="-0.24994659260841701"/>
      </font>
    </dxf>
    <dxf>
      <font>
        <color theme="8" tint="-0.24994659260841701"/>
      </font>
    </dxf>
    <dxf>
      <font>
        <color theme="8" tint="-0.24994659260841701"/>
      </font>
    </dxf>
    <dxf>
      <font>
        <color theme="8" tint="-0.24994659260841701"/>
      </font>
    </dxf>
    <dxf>
      <font>
        <color theme="8" tint="-0.24994659260841701"/>
      </font>
    </dxf>
    <dxf>
      <font>
        <color theme="8" tint="-0.24994659260841701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opLeftCell="B4" zoomScaleNormal="100" workbookViewId="0">
      <selection activeCell="M4" sqref="M4"/>
    </sheetView>
  </sheetViews>
  <sheetFormatPr defaultColWidth="9" defaultRowHeight="13.5" customHeight="1" x14ac:dyDescent="0.2"/>
  <cols>
    <col min="1" max="3" width="9" style="107" customWidth="1"/>
    <col min="4" max="5" width="11.7109375" style="107" customWidth="1"/>
    <col min="6" max="6" width="11.7109375" style="141" customWidth="1"/>
    <col min="7" max="8" width="11.7109375" style="107" customWidth="1"/>
    <col min="9" max="9" width="11.7109375" style="141" customWidth="1"/>
    <col min="10" max="11" width="11.7109375" style="107" customWidth="1"/>
    <col min="12" max="12" width="11.7109375" style="141" customWidth="1"/>
    <col min="13" max="256" width="9" style="107"/>
    <col min="257" max="259" width="9" style="107" customWidth="1"/>
    <col min="260" max="268" width="11.7109375" style="107" customWidth="1"/>
    <col min="269" max="512" width="9" style="107"/>
    <col min="513" max="515" width="9" style="107" customWidth="1"/>
    <col min="516" max="524" width="11.7109375" style="107" customWidth="1"/>
    <col min="525" max="768" width="9" style="107"/>
    <col min="769" max="771" width="9" style="107" customWidth="1"/>
    <col min="772" max="780" width="11.7109375" style="107" customWidth="1"/>
    <col min="781" max="1024" width="9" style="107"/>
    <col min="1025" max="1027" width="9" style="107" customWidth="1"/>
    <col min="1028" max="1036" width="11.7109375" style="107" customWidth="1"/>
    <col min="1037" max="1280" width="9" style="107"/>
    <col min="1281" max="1283" width="9" style="107" customWidth="1"/>
    <col min="1284" max="1292" width="11.7109375" style="107" customWidth="1"/>
    <col min="1293" max="1536" width="9" style="107"/>
    <col min="1537" max="1539" width="9" style="107" customWidth="1"/>
    <col min="1540" max="1548" width="11.7109375" style="107" customWidth="1"/>
    <col min="1549" max="1792" width="9" style="107"/>
    <col min="1793" max="1795" width="9" style="107" customWidth="1"/>
    <col min="1796" max="1804" width="11.7109375" style="107" customWidth="1"/>
    <col min="1805" max="2048" width="9" style="107"/>
    <col min="2049" max="2051" width="9" style="107" customWidth="1"/>
    <col min="2052" max="2060" width="11.7109375" style="107" customWidth="1"/>
    <col min="2061" max="2304" width="9" style="107"/>
    <col min="2305" max="2307" width="9" style="107" customWidth="1"/>
    <col min="2308" max="2316" width="11.7109375" style="107" customWidth="1"/>
    <col min="2317" max="2560" width="9" style="107"/>
    <col min="2561" max="2563" width="9" style="107" customWidth="1"/>
    <col min="2564" max="2572" width="11.7109375" style="107" customWidth="1"/>
    <col min="2573" max="2816" width="9" style="107"/>
    <col min="2817" max="2819" width="9" style="107" customWidth="1"/>
    <col min="2820" max="2828" width="11.7109375" style="107" customWidth="1"/>
    <col min="2829" max="3072" width="9" style="107"/>
    <col min="3073" max="3075" width="9" style="107" customWidth="1"/>
    <col min="3076" max="3084" width="11.7109375" style="107" customWidth="1"/>
    <col min="3085" max="3328" width="9" style="107"/>
    <col min="3329" max="3331" width="9" style="107" customWidth="1"/>
    <col min="3332" max="3340" width="11.7109375" style="107" customWidth="1"/>
    <col min="3341" max="3584" width="9" style="107"/>
    <col min="3585" max="3587" width="9" style="107" customWidth="1"/>
    <col min="3588" max="3596" width="11.7109375" style="107" customWidth="1"/>
    <col min="3597" max="3840" width="9" style="107"/>
    <col min="3841" max="3843" width="9" style="107" customWidth="1"/>
    <col min="3844" max="3852" width="11.7109375" style="107" customWidth="1"/>
    <col min="3853" max="4096" width="9" style="107"/>
    <col min="4097" max="4099" width="9" style="107" customWidth="1"/>
    <col min="4100" max="4108" width="11.7109375" style="107" customWidth="1"/>
    <col min="4109" max="4352" width="9" style="107"/>
    <col min="4353" max="4355" width="9" style="107" customWidth="1"/>
    <col min="4356" max="4364" width="11.7109375" style="107" customWidth="1"/>
    <col min="4365" max="4608" width="9" style="107"/>
    <col min="4609" max="4611" width="9" style="107" customWidth="1"/>
    <col min="4612" max="4620" width="11.7109375" style="107" customWidth="1"/>
    <col min="4621" max="4864" width="9" style="107"/>
    <col min="4865" max="4867" width="9" style="107" customWidth="1"/>
    <col min="4868" max="4876" width="11.7109375" style="107" customWidth="1"/>
    <col min="4877" max="5120" width="9" style="107"/>
    <col min="5121" max="5123" width="9" style="107" customWidth="1"/>
    <col min="5124" max="5132" width="11.7109375" style="107" customWidth="1"/>
    <col min="5133" max="5376" width="9" style="107"/>
    <col min="5377" max="5379" width="9" style="107" customWidth="1"/>
    <col min="5380" max="5388" width="11.7109375" style="107" customWidth="1"/>
    <col min="5389" max="5632" width="9" style="107"/>
    <col min="5633" max="5635" width="9" style="107" customWidth="1"/>
    <col min="5636" max="5644" width="11.7109375" style="107" customWidth="1"/>
    <col min="5645" max="5888" width="9" style="107"/>
    <col min="5889" max="5891" width="9" style="107" customWidth="1"/>
    <col min="5892" max="5900" width="11.7109375" style="107" customWidth="1"/>
    <col min="5901" max="6144" width="9" style="107"/>
    <col min="6145" max="6147" width="9" style="107" customWidth="1"/>
    <col min="6148" max="6156" width="11.7109375" style="107" customWidth="1"/>
    <col min="6157" max="6400" width="9" style="107"/>
    <col min="6401" max="6403" width="9" style="107" customWidth="1"/>
    <col min="6404" max="6412" width="11.7109375" style="107" customWidth="1"/>
    <col min="6413" max="6656" width="9" style="107"/>
    <col min="6657" max="6659" width="9" style="107" customWidth="1"/>
    <col min="6660" max="6668" width="11.7109375" style="107" customWidth="1"/>
    <col min="6669" max="6912" width="9" style="107"/>
    <col min="6913" max="6915" width="9" style="107" customWidth="1"/>
    <col min="6916" max="6924" width="11.7109375" style="107" customWidth="1"/>
    <col min="6925" max="7168" width="9" style="107"/>
    <col min="7169" max="7171" width="9" style="107" customWidth="1"/>
    <col min="7172" max="7180" width="11.7109375" style="107" customWidth="1"/>
    <col min="7181" max="7424" width="9" style="107"/>
    <col min="7425" max="7427" width="9" style="107" customWidth="1"/>
    <col min="7428" max="7436" width="11.7109375" style="107" customWidth="1"/>
    <col min="7437" max="7680" width="9" style="107"/>
    <col min="7681" max="7683" width="9" style="107" customWidth="1"/>
    <col min="7684" max="7692" width="11.7109375" style="107" customWidth="1"/>
    <col min="7693" max="7936" width="9" style="107"/>
    <col min="7937" max="7939" width="9" style="107" customWidth="1"/>
    <col min="7940" max="7948" width="11.7109375" style="107" customWidth="1"/>
    <col min="7949" max="8192" width="9" style="107"/>
    <col min="8193" max="8195" width="9" style="107" customWidth="1"/>
    <col min="8196" max="8204" width="11.7109375" style="107" customWidth="1"/>
    <col min="8205" max="8448" width="9" style="107"/>
    <col min="8449" max="8451" width="9" style="107" customWidth="1"/>
    <col min="8452" max="8460" width="11.7109375" style="107" customWidth="1"/>
    <col min="8461" max="8704" width="9" style="107"/>
    <col min="8705" max="8707" width="9" style="107" customWidth="1"/>
    <col min="8708" max="8716" width="11.7109375" style="107" customWidth="1"/>
    <col min="8717" max="8960" width="9" style="107"/>
    <col min="8961" max="8963" width="9" style="107" customWidth="1"/>
    <col min="8964" max="8972" width="11.7109375" style="107" customWidth="1"/>
    <col min="8973" max="9216" width="9" style="107"/>
    <col min="9217" max="9219" width="9" style="107" customWidth="1"/>
    <col min="9220" max="9228" width="11.7109375" style="107" customWidth="1"/>
    <col min="9229" max="9472" width="9" style="107"/>
    <col min="9473" max="9475" width="9" style="107" customWidth="1"/>
    <col min="9476" max="9484" width="11.7109375" style="107" customWidth="1"/>
    <col min="9485" max="9728" width="9" style="107"/>
    <col min="9729" max="9731" width="9" style="107" customWidth="1"/>
    <col min="9732" max="9740" width="11.7109375" style="107" customWidth="1"/>
    <col min="9741" max="9984" width="9" style="107"/>
    <col min="9985" max="9987" width="9" style="107" customWidth="1"/>
    <col min="9988" max="9996" width="11.7109375" style="107" customWidth="1"/>
    <col min="9997" max="10240" width="9" style="107"/>
    <col min="10241" max="10243" width="9" style="107" customWidth="1"/>
    <col min="10244" max="10252" width="11.7109375" style="107" customWidth="1"/>
    <col min="10253" max="10496" width="9" style="107"/>
    <col min="10497" max="10499" width="9" style="107" customWidth="1"/>
    <col min="10500" max="10508" width="11.7109375" style="107" customWidth="1"/>
    <col min="10509" max="10752" width="9" style="107"/>
    <col min="10753" max="10755" width="9" style="107" customWidth="1"/>
    <col min="10756" max="10764" width="11.7109375" style="107" customWidth="1"/>
    <col min="10765" max="11008" width="9" style="107"/>
    <col min="11009" max="11011" width="9" style="107" customWidth="1"/>
    <col min="11012" max="11020" width="11.7109375" style="107" customWidth="1"/>
    <col min="11021" max="11264" width="9" style="107"/>
    <col min="11265" max="11267" width="9" style="107" customWidth="1"/>
    <col min="11268" max="11276" width="11.7109375" style="107" customWidth="1"/>
    <col min="11277" max="11520" width="9" style="107"/>
    <col min="11521" max="11523" width="9" style="107" customWidth="1"/>
    <col min="11524" max="11532" width="11.7109375" style="107" customWidth="1"/>
    <col min="11533" max="11776" width="9" style="107"/>
    <col min="11777" max="11779" width="9" style="107" customWidth="1"/>
    <col min="11780" max="11788" width="11.7109375" style="107" customWidth="1"/>
    <col min="11789" max="12032" width="9" style="107"/>
    <col min="12033" max="12035" width="9" style="107" customWidth="1"/>
    <col min="12036" max="12044" width="11.7109375" style="107" customWidth="1"/>
    <col min="12045" max="12288" width="9" style="107"/>
    <col min="12289" max="12291" width="9" style="107" customWidth="1"/>
    <col min="12292" max="12300" width="11.7109375" style="107" customWidth="1"/>
    <col min="12301" max="12544" width="9" style="107"/>
    <col min="12545" max="12547" width="9" style="107" customWidth="1"/>
    <col min="12548" max="12556" width="11.7109375" style="107" customWidth="1"/>
    <col min="12557" max="12800" width="9" style="107"/>
    <col min="12801" max="12803" width="9" style="107" customWidth="1"/>
    <col min="12804" max="12812" width="11.7109375" style="107" customWidth="1"/>
    <col min="12813" max="13056" width="9" style="107"/>
    <col min="13057" max="13059" width="9" style="107" customWidth="1"/>
    <col min="13060" max="13068" width="11.7109375" style="107" customWidth="1"/>
    <col min="13069" max="13312" width="9" style="107"/>
    <col min="13313" max="13315" width="9" style="107" customWidth="1"/>
    <col min="13316" max="13324" width="11.7109375" style="107" customWidth="1"/>
    <col min="13325" max="13568" width="9" style="107"/>
    <col min="13569" max="13571" width="9" style="107" customWidth="1"/>
    <col min="13572" max="13580" width="11.7109375" style="107" customWidth="1"/>
    <col min="13581" max="13824" width="9" style="107"/>
    <col min="13825" max="13827" width="9" style="107" customWidth="1"/>
    <col min="13828" max="13836" width="11.7109375" style="107" customWidth="1"/>
    <col min="13837" max="14080" width="9" style="107"/>
    <col min="14081" max="14083" width="9" style="107" customWidth="1"/>
    <col min="14084" max="14092" width="11.7109375" style="107" customWidth="1"/>
    <col min="14093" max="14336" width="9" style="107"/>
    <col min="14337" max="14339" width="9" style="107" customWidth="1"/>
    <col min="14340" max="14348" width="11.7109375" style="107" customWidth="1"/>
    <col min="14349" max="14592" width="9" style="107"/>
    <col min="14593" max="14595" width="9" style="107" customWidth="1"/>
    <col min="14596" max="14604" width="11.7109375" style="107" customWidth="1"/>
    <col min="14605" max="14848" width="9" style="107"/>
    <col min="14849" max="14851" width="9" style="107" customWidth="1"/>
    <col min="14852" max="14860" width="11.7109375" style="107" customWidth="1"/>
    <col min="14861" max="15104" width="9" style="107"/>
    <col min="15105" max="15107" width="9" style="107" customWidth="1"/>
    <col min="15108" max="15116" width="11.7109375" style="107" customWidth="1"/>
    <col min="15117" max="15360" width="9" style="107"/>
    <col min="15361" max="15363" width="9" style="107" customWidth="1"/>
    <col min="15364" max="15372" width="11.7109375" style="107" customWidth="1"/>
    <col min="15373" max="15616" width="9" style="107"/>
    <col min="15617" max="15619" width="9" style="107" customWidth="1"/>
    <col min="15620" max="15628" width="11.7109375" style="107" customWidth="1"/>
    <col min="15629" max="15872" width="9" style="107"/>
    <col min="15873" max="15875" width="9" style="107" customWidth="1"/>
    <col min="15876" max="15884" width="11.7109375" style="107" customWidth="1"/>
    <col min="15885" max="16128" width="9" style="107"/>
    <col min="16129" max="16131" width="9" style="107" customWidth="1"/>
    <col min="16132" max="16140" width="11.7109375" style="107" customWidth="1"/>
    <col min="16141" max="16384" width="9" style="107"/>
  </cols>
  <sheetData>
    <row r="1" spans="1:12" ht="13.5" customHeight="1" thickBot="1" x14ac:dyDescent="0.25">
      <c r="A1" s="514" t="s">
        <v>88</v>
      </c>
      <c r="B1" s="515"/>
      <c r="C1" s="516"/>
      <c r="D1" s="523" t="s">
        <v>89</v>
      </c>
      <c r="E1" s="524"/>
      <c r="F1" s="525"/>
      <c r="G1" s="524" t="s">
        <v>90</v>
      </c>
      <c r="H1" s="524"/>
      <c r="I1" s="525"/>
      <c r="J1" s="524" t="s">
        <v>91</v>
      </c>
      <c r="K1" s="524"/>
      <c r="L1" s="525"/>
    </row>
    <row r="2" spans="1:12" ht="13.5" customHeight="1" x14ac:dyDescent="0.2">
      <c r="A2" s="517"/>
      <c r="B2" s="518"/>
      <c r="C2" s="519"/>
      <c r="D2" s="520" t="s">
        <v>92</v>
      </c>
      <c r="E2" s="521"/>
      <c r="F2" s="522"/>
      <c r="G2" s="526" t="s">
        <v>93</v>
      </c>
      <c r="H2" s="527"/>
      <c r="I2" s="528"/>
      <c r="J2" s="526" t="s">
        <v>93</v>
      </c>
      <c r="K2" s="527"/>
      <c r="L2" s="528"/>
    </row>
    <row r="3" spans="1:12" ht="13.5" customHeight="1" x14ac:dyDescent="0.2">
      <c r="A3" s="520"/>
      <c r="B3" s="521"/>
      <c r="C3" s="522"/>
      <c r="D3" s="108">
        <v>2013</v>
      </c>
      <c r="E3" s="109">
        <v>2014</v>
      </c>
      <c r="F3" s="110" t="s">
        <v>94</v>
      </c>
      <c r="G3" s="108">
        <v>2013</v>
      </c>
      <c r="H3" s="109">
        <v>2014</v>
      </c>
      <c r="I3" s="111" t="s">
        <v>94</v>
      </c>
      <c r="J3" s="108">
        <v>2013</v>
      </c>
      <c r="K3" s="109">
        <v>2014</v>
      </c>
      <c r="L3" s="111" t="s">
        <v>94</v>
      </c>
    </row>
    <row r="4" spans="1:12" ht="13.5" customHeight="1" x14ac:dyDescent="0.2">
      <c r="A4" s="512" t="s">
        <v>95</v>
      </c>
      <c r="B4" s="513"/>
      <c r="C4" s="513"/>
      <c r="D4" s="112">
        <f>'1 (szegedi)'!D4+'1 (visegrádi)'!D4</f>
        <v>2531</v>
      </c>
      <c r="E4" s="113">
        <f>'1 (szegedi)'!E4+'1 (visegrádi)'!E4</f>
        <v>2488</v>
      </c>
      <c r="F4" s="114">
        <f t="shared" ref="F4:F28" si="0">E4/D4</f>
        <v>0.98301066772026868</v>
      </c>
      <c r="G4" s="112">
        <f>'1 (szegedi)'!G4+'1 (visegrádi)'!G4</f>
        <v>7258</v>
      </c>
      <c r="H4" s="113">
        <f>'1 (szegedi)'!H4+'1 (visegrádi)'!H4</f>
        <v>6780</v>
      </c>
      <c r="I4" s="114">
        <f t="shared" ref="I4:I28" si="1">H4/G4</f>
        <v>0.93414163681454943</v>
      </c>
      <c r="J4" s="112">
        <f>'1 (szegedi)'!J4+'1 (visegrádi)'!J4</f>
        <v>2736596</v>
      </c>
      <c r="K4" s="113">
        <f>'1 (szegedi)'!K4+'1 (visegrádi)'!K4</f>
        <v>2592966</v>
      </c>
      <c r="L4" s="114">
        <f t="shared" ref="L4:L28" si="2">K4/J4</f>
        <v>0.94751508808753648</v>
      </c>
    </row>
    <row r="5" spans="1:12" ht="13.5" customHeight="1" x14ac:dyDescent="0.2">
      <c r="A5" s="512" t="s">
        <v>96</v>
      </c>
      <c r="B5" s="513"/>
      <c r="C5" s="513"/>
      <c r="D5" s="112">
        <f>'1 (szegedi)'!D5+'1 (visegrádi)'!D5</f>
        <v>3538</v>
      </c>
      <c r="E5" s="113">
        <f>'1 (szegedi)'!E5+'1 (visegrádi)'!E5</f>
        <v>3484</v>
      </c>
      <c r="F5" s="114">
        <f t="shared" si="0"/>
        <v>0.9847371396269079</v>
      </c>
      <c r="G5" s="112">
        <f>'1 (szegedi)'!G5+'1 (visegrádi)'!G5</f>
        <v>10254</v>
      </c>
      <c r="H5" s="113">
        <f>'1 (szegedi)'!H5+'1 (visegrádi)'!H5</f>
        <v>10752</v>
      </c>
      <c r="I5" s="114">
        <f t="shared" si="1"/>
        <v>1.0485664131070802</v>
      </c>
      <c r="J5" s="112">
        <f>'1 (szegedi)'!J5+'1 (visegrádi)'!J5</f>
        <v>1688042</v>
      </c>
      <c r="K5" s="113">
        <f>'1 (szegedi)'!K5+'1 (visegrádi)'!K5</f>
        <v>1805231</v>
      </c>
      <c r="L5" s="114">
        <f t="shared" si="2"/>
        <v>1.0694230356827614</v>
      </c>
    </row>
    <row r="6" spans="1:12" ht="13.5" customHeight="1" x14ac:dyDescent="0.2">
      <c r="A6" s="512" t="s">
        <v>97</v>
      </c>
      <c r="B6" s="513"/>
      <c r="C6" s="513"/>
      <c r="D6" s="112">
        <f>'1 (szegedi)'!D6+'1 (visegrádi)'!D6</f>
        <v>2936</v>
      </c>
      <c r="E6" s="113">
        <f>'1 (szegedi)'!E6+'1 (visegrádi)'!E6</f>
        <v>2810</v>
      </c>
      <c r="F6" s="114">
        <f t="shared" si="0"/>
        <v>0.95708446866485009</v>
      </c>
      <c r="G6" s="112">
        <f>'1 (szegedi)'!G6+'1 (visegrádi)'!G6</f>
        <v>5729</v>
      </c>
      <c r="H6" s="113">
        <f>'1 (szegedi)'!H6+'1 (visegrádi)'!H6</f>
        <v>5398</v>
      </c>
      <c r="I6" s="114">
        <f t="shared" si="1"/>
        <v>0.94222377378250999</v>
      </c>
      <c r="J6" s="112">
        <f>'1 (szegedi)'!J6+'1 (visegrádi)'!J6</f>
        <v>6662080</v>
      </c>
      <c r="K6" s="113">
        <f>'1 (szegedi)'!K6+'1 (visegrádi)'!K6</f>
        <v>5824525</v>
      </c>
      <c r="L6" s="114">
        <f t="shared" si="2"/>
        <v>0.87428025481531291</v>
      </c>
    </row>
    <row r="7" spans="1:12" ht="13.5" customHeight="1" x14ac:dyDescent="0.2">
      <c r="A7" s="503" t="s">
        <v>98</v>
      </c>
      <c r="B7" s="504"/>
      <c r="C7" s="504"/>
      <c r="D7" s="112">
        <f>'1 (szegedi)'!D7+'1 (visegrádi)'!D7</f>
        <v>12640</v>
      </c>
      <c r="E7" s="113">
        <f>'1 (szegedi)'!E7+'1 (visegrádi)'!E7</f>
        <v>12268</v>
      </c>
      <c r="F7" s="114">
        <f t="shared" si="0"/>
        <v>0.97056962025316451</v>
      </c>
      <c r="G7" s="112">
        <f>'1 (szegedi)'!G7+'1 (visegrádi)'!G7</f>
        <v>30956</v>
      </c>
      <c r="H7" s="113">
        <f>'1 (szegedi)'!H7+'1 (visegrádi)'!H7</f>
        <v>30343</v>
      </c>
      <c r="I7" s="114">
        <f t="shared" si="1"/>
        <v>0.98019769996123529</v>
      </c>
      <c r="J7" s="112">
        <f>'1 (szegedi)'!J7+'1 (visegrádi)'!J7</f>
        <v>24129444</v>
      </c>
      <c r="K7" s="113">
        <f>'1 (szegedi)'!K7+'1 (visegrádi)'!K7</f>
        <v>23934422</v>
      </c>
      <c r="L7" s="114">
        <f t="shared" si="2"/>
        <v>0.99191767535132591</v>
      </c>
    </row>
    <row r="8" spans="1:12" ht="13.5" customHeight="1" x14ac:dyDescent="0.2">
      <c r="A8" s="503" t="s">
        <v>99</v>
      </c>
      <c r="B8" s="504"/>
      <c r="C8" s="504"/>
      <c r="D8" s="112">
        <f>'1 (szegedi)'!D8+'1 (visegrádi)'!D8</f>
        <v>23212</v>
      </c>
      <c r="E8" s="113">
        <f>'1 (szegedi)'!E8+'1 (visegrádi)'!E8</f>
        <v>23661</v>
      </c>
      <c r="F8" s="114">
        <f t="shared" si="0"/>
        <v>1.0193434430466999</v>
      </c>
      <c r="G8" s="112">
        <f>'1 (szegedi)'!G8+'1 (visegrádi)'!G8</f>
        <v>117327</v>
      </c>
      <c r="H8" s="113">
        <f>'1 (szegedi)'!H8+'1 (visegrádi)'!H8</f>
        <v>117004</v>
      </c>
      <c r="I8" s="114">
        <f t="shared" si="1"/>
        <v>0.99724701049204356</v>
      </c>
      <c r="J8" s="112">
        <f>'1 (szegedi)'!J8+'1 (visegrádi)'!J8</f>
        <v>38298667</v>
      </c>
      <c r="K8" s="113">
        <f>'1 (szegedi)'!K8+'1 (visegrádi)'!K8</f>
        <v>38579104</v>
      </c>
      <c r="L8" s="114">
        <f t="shared" si="2"/>
        <v>1.0073223697315628</v>
      </c>
    </row>
    <row r="9" spans="1:12" ht="13.5" customHeight="1" x14ac:dyDescent="0.2">
      <c r="A9" s="503" t="s">
        <v>100</v>
      </c>
      <c r="B9" s="504"/>
      <c r="C9" s="504"/>
      <c r="D9" s="112">
        <f>'1 (szegedi)'!D9+'1 (visegrádi)'!D9</f>
        <v>13631</v>
      </c>
      <c r="E9" s="113">
        <f>'1 (szegedi)'!E9+'1 (visegrádi)'!E9</f>
        <v>13641</v>
      </c>
      <c r="F9" s="114">
        <f t="shared" si="0"/>
        <v>1.0007336218912772</v>
      </c>
      <c r="G9" s="112">
        <f>'1 (szegedi)'!G9+'1 (visegrádi)'!G9</f>
        <v>61044</v>
      </c>
      <c r="H9" s="113">
        <f>'1 (szegedi)'!H9+'1 (visegrádi)'!H9</f>
        <v>60173</v>
      </c>
      <c r="I9" s="114">
        <f t="shared" si="1"/>
        <v>0.9857316034335889</v>
      </c>
      <c r="J9" s="112">
        <f>'1 (szegedi)'!J9+'1 (visegrádi)'!J9</f>
        <v>20015763</v>
      </c>
      <c r="K9" s="113">
        <f>'1 (szegedi)'!K9+'1 (visegrádi)'!K9</f>
        <v>19997428</v>
      </c>
      <c r="L9" s="114">
        <f t="shared" si="2"/>
        <v>0.99908397196749377</v>
      </c>
    </row>
    <row r="10" spans="1:12" ht="13.5" customHeight="1" x14ac:dyDescent="0.2">
      <c r="A10" s="503" t="s">
        <v>101</v>
      </c>
      <c r="B10" s="504"/>
      <c r="C10" s="504"/>
      <c r="D10" s="112">
        <f>'1 (szegedi)'!D10+'1 (visegrádi)'!D10</f>
        <v>2185</v>
      </c>
      <c r="E10" s="113">
        <f>'1 (szegedi)'!E10+'1 (visegrádi)'!E10</f>
        <v>2438</v>
      </c>
      <c r="F10" s="114">
        <f t="shared" si="0"/>
        <v>1.1157894736842104</v>
      </c>
      <c r="G10" s="112">
        <f>'1 (szegedi)'!G10+'1 (visegrádi)'!G10</f>
        <v>10088</v>
      </c>
      <c r="H10" s="113">
        <f>'1 (szegedi)'!H10+'1 (visegrádi)'!H10</f>
        <v>11269</v>
      </c>
      <c r="I10" s="114">
        <f t="shared" si="1"/>
        <v>1.1170697858842189</v>
      </c>
      <c r="J10" s="112">
        <f>'1 (szegedi)'!J10+'1 (visegrádi)'!J10</f>
        <v>3106207</v>
      </c>
      <c r="K10" s="113">
        <f>'1 (szegedi)'!K10+'1 (visegrádi)'!K10</f>
        <v>3469260</v>
      </c>
      <c r="L10" s="114">
        <f t="shared" si="2"/>
        <v>1.1168798473508044</v>
      </c>
    </row>
    <row r="11" spans="1:12" ht="13.5" customHeight="1" x14ac:dyDescent="0.2">
      <c r="A11" s="503" t="s">
        <v>102</v>
      </c>
      <c r="B11" s="504"/>
      <c r="C11" s="504"/>
      <c r="D11" s="112">
        <f>'1 (szegedi)'!D11+'1 (visegrádi)'!D11</f>
        <v>1152</v>
      </c>
      <c r="E11" s="113">
        <f>'1 (szegedi)'!E11+'1 (visegrádi)'!E11</f>
        <v>997</v>
      </c>
      <c r="F11" s="114">
        <f t="shared" si="0"/>
        <v>0.86545138888888884</v>
      </c>
      <c r="G11" s="112">
        <f>'1 (szegedi)'!G11+'1 (visegrádi)'!G11</f>
        <v>2272</v>
      </c>
      <c r="H11" s="113">
        <f>'1 (szegedi)'!H11+'1 (visegrádi)'!H11</f>
        <v>1985</v>
      </c>
      <c r="I11" s="114">
        <f t="shared" si="1"/>
        <v>0.87367957746478875</v>
      </c>
      <c r="J11" s="112">
        <f>'1 (szegedi)'!J11+'1 (visegrádi)'!J11</f>
        <v>1508532</v>
      </c>
      <c r="K11" s="113">
        <f>'1 (szegedi)'!K11+'1 (visegrádi)'!K11</f>
        <v>1319274</v>
      </c>
      <c r="L11" s="114">
        <f t="shared" si="2"/>
        <v>0.87454160733746455</v>
      </c>
    </row>
    <row r="12" spans="1:12" ht="13.5" customHeight="1" x14ac:dyDescent="0.2">
      <c r="A12" s="503" t="s">
        <v>103</v>
      </c>
      <c r="B12" s="504"/>
      <c r="C12" s="504"/>
      <c r="D12" s="112">
        <f>'1 (szegedi)'!D12+'1 (visegrádi)'!D12</f>
        <v>23352</v>
      </c>
      <c r="E12" s="113">
        <f>'1 (szegedi)'!E12+'1 (visegrádi)'!E12</f>
        <v>22308</v>
      </c>
      <c r="F12" s="114">
        <f t="shared" si="0"/>
        <v>0.95529290853031856</v>
      </c>
      <c r="G12" s="112">
        <f>'1 (szegedi)'!G12+'1 (visegrádi)'!G12</f>
        <v>85603</v>
      </c>
      <c r="H12" s="113">
        <f>'1 (szegedi)'!H12+'1 (visegrádi)'!H12</f>
        <v>84883</v>
      </c>
      <c r="I12" s="114">
        <f t="shared" si="1"/>
        <v>0.99158907982196887</v>
      </c>
      <c r="J12" s="112">
        <f>'1 (szegedi)'!J12+'1 (visegrádi)'!J12</f>
        <v>31626207</v>
      </c>
      <c r="K12" s="113">
        <f>'1 (szegedi)'!K12+'1 (visegrádi)'!K12</f>
        <v>30178931</v>
      </c>
      <c r="L12" s="114">
        <f t="shared" si="2"/>
        <v>0.95423807856566545</v>
      </c>
    </row>
    <row r="13" spans="1:12" ht="13.5" customHeight="1" x14ac:dyDescent="0.2">
      <c r="A13" s="503" t="s">
        <v>104</v>
      </c>
      <c r="B13" s="504"/>
      <c r="C13" s="504"/>
      <c r="D13" s="112">
        <f>'1 (szegedi)'!D13+'1 (visegrádi)'!D13</f>
        <v>21372</v>
      </c>
      <c r="E13" s="113">
        <f>'1 (szegedi)'!E13+'1 (visegrádi)'!E13</f>
        <v>22108</v>
      </c>
      <c r="F13" s="114">
        <f t="shared" si="0"/>
        <v>1.0344375818828373</v>
      </c>
      <c r="G13" s="112">
        <f>'1 (szegedi)'!G13+'1 (visegrádi)'!G13</f>
        <v>81179</v>
      </c>
      <c r="H13" s="113">
        <f>'1 (szegedi)'!H13+'1 (visegrádi)'!H13</f>
        <v>81168</v>
      </c>
      <c r="I13" s="114">
        <f t="shared" si="1"/>
        <v>0.99986449697581892</v>
      </c>
      <c r="J13" s="112">
        <f>'1 (szegedi)'!J13+'1 (visegrádi)'!J13</f>
        <v>20369497</v>
      </c>
      <c r="K13" s="113">
        <f>'1 (szegedi)'!K13+'1 (visegrádi)'!K13</f>
        <v>20722891</v>
      </c>
      <c r="L13" s="114">
        <f t="shared" si="2"/>
        <v>1.017349176565332</v>
      </c>
    </row>
    <row r="14" spans="1:12" ht="13.5" customHeight="1" x14ac:dyDescent="0.2">
      <c r="A14" s="503" t="s">
        <v>105</v>
      </c>
      <c r="B14" s="504"/>
      <c r="C14" s="504"/>
      <c r="D14" s="112">
        <f>'1 (szegedi)'!D14+'1 (visegrádi)'!D14</f>
        <v>1604</v>
      </c>
      <c r="E14" s="113">
        <f>'1 (szegedi)'!E14+'1 (visegrádi)'!E14</f>
        <v>1607</v>
      </c>
      <c r="F14" s="114">
        <f t="shared" si="0"/>
        <v>1.0018703241895262</v>
      </c>
      <c r="G14" s="112">
        <f>'1 (szegedi)'!G14+'1 (visegrádi)'!G14</f>
        <v>11130</v>
      </c>
      <c r="H14" s="113">
        <f>'1 (szegedi)'!H14+'1 (visegrádi)'!H14</f>
        <v>11541</v>
      </c>
      <c r="I14" s="114">
        <f t="shared" si="1"/>
        <v>1.0369272237196765</v>
      </c>
      <c r="J14" s="112">
        <f>'1 (szegedi)'!J14+'1 (visegrádi)'!J14</f>
        <v>2457359</v>
      </c>
      <c r="K14" s="113">
        <f>'1 (szegedi)'!K14+'1 (visegrádi)'!K14</f>
        <v>2493872</v>
      </c>
      <c r="L14" s="114">
        <f t="shared" si="2"/>
        <v>1.0148586348189255</v>
      </c>
    </row>
    <row r="15" spans="1:12" ht="13.5" customHeight="1" x14ac:dyDescent="0.2">
      <c r="A15" s="503" t="s">
        <v>106</v>
      </c>
      <c r="B15" s="504"/>
      <c r="C15" s="504"/>
      <c r="D15" s="112">
        <f>'1 (szegedi)'!D15+'1 (visegrádi)'!D15</f>
        <v>25200</v>
      </c>
      <c r="E15" s="113">
        <f>'1 (szegedi)'!E15+'1 (visegrádi)'!E15</f>
        <v>24857</v>
      </c>
      <c r="F15" s="114">
        <f t="shared" si="0"/>
        <v>0.98638888888888887</v>
      </c>
      <c r="G15" s="112">
        <f>'1 (szegedi)'!G15+'1 (visegrádi)'!G15</f>
        <v>248061</v>
      </c>
      <c r="H15" s="113">
        <f>'1 (szegedi)'!H15+'1 (visegrádi)'!H15</f>
        <v>239185</v>
      </c>
      <c r="I15" s="114">
        <f t="shared" si="1"/>
        <v>0.96421847851939646</v>
      </c>
      <c r="J15" s="112">
        <f>'1 (szegedi)'!J15+'1 (visegrádi)'!J15</f>
        <v>42009348</v>
      </c>
      <c r="K15" s="113">
        <f>'1 (szegedi)'!K15+'1 (visegrádi)'!K15</f>
        <v>40971733</v>
      </c>
      <c r="L15" s="114">
        <f t="shared" si="2"/>
        <v>0.97530037838244954</v>
      </c>
    </row>
    <row r="16" spans="1:12" ht="13.5" customHeight="1" x14ac:dyDescent="0.2">
      <c r="A16" s="503" t="s">
        <v>107</v>
      </c>
      <c r="B16" s="504"/>
      <c r="C16" s="504"/>
      <c r="D16" s="112">
        <f>'1 (szegedi)'!D16+'1 (visegrádi)'!D16</f>
        <v>14643</v>
      </c>
      <c r="E16" s="113">
        <f>'1 (szegedi)'!E16+'1 (visegrádi)'!E16</f>
        <v>15892</v>
      </c>
      <c r="F16" s="114">
        <f t="shared" si="0"/>
        <v>1.0852967288124018</v>
      </c>
      <c r="G16" s="112">
        <f>'1 (szegedi)'!G16+'1 (visegrádi)'!G16</f>
        <v>49281</v>
      </c>
      <c r="H16" s="113">
        <f>'1 (szegedi)'!H16+'1 (visegrádi)'!H16</f>
        <v>59016</v>
      </c>
      <c r="I16" s="114">
        <f t="shared" si="1"/>
        <v>1.1975406343215438</v>
      </c>
      <c r="J16" s="112">
        <f>'1 (szegedi)'!J16+'1 (visegrádi)'!J16</f>
        <v>15860909</v>
      </c>
      <c r="K16" s="113">
        <f>'1 (szegedi)'!K16+'1 (visegrádi)'!K16</f>
        <v>18012438</v>
      </c>
      <c r="L16" s="114">
        <f t="shared" si="2"/>
        <v>1.1356497915724755</v>
      </c>
    </row>
    <row r="17" spans="1:12" ht="13.5" customHeight="1" x14ac:dyDescent="0.2">
      <c r="A17" s="503" t="s">
        <v>108</v>
      </c>
      <c r="B17" s="504"/>
      <c r="C17" s="505"/>
      <c r="D17" s="112">
        <f>'1 (szegedi)'!D17+'1 (visegrádi)'!D17</f>
        <v>1496</v>
      </c>
      <c r="E17" s="113">
        <f>'1 (szegedi)'!E17+'1 (visegrádi)'!E17</f>
        <v>1537</v>
      </c>
      <c r="F17" s="114">
        <f t="shared" si="0"/>
        <v>1.0274064171122994</v>
      </c>
      <c r="G17" s="112">
        <f>'1 (szegedi)'!G17+'1 (visegrádi)'!G17</f>
        <v>18216</v>
      </c>
      <c r="H17" s="113">
        <f>'1 (szegedi)'!H17+'1 (visegrádi)'!H17</f>
        <v>21645</v>
      </c>
      <c r="I17" s="114">
        <f t="shared" si="1"/>
        <v>1.1882411067193677</v>
      </c>
      <c r="J17" s="112">
        <f>'1 (szegedi)'!J17+'1 (visegrádi)'!J17</f>
        <v>6104470</v>
      </c>
      <c r="K17" s="113">
        <f>'1 (szegedi)'!K17+'1 (visegrádi)'!K17</f>
        <v>7114923</v>
      </c>
      <c r="L17" s="114">
        <f t="shared" si="2"/>
        <v>1.1655267369648799</v>
      </c>
    </row>
    <row r="18" spans="1:12" ht="13.5" customHeight="1" x14ac:dyDescent="0.2">
      <c r="A18" s="503" t="s">
        <v>109</v>
      </c>
      <c r="B18" s="504"/>
      <c r="C18" s="504"/>
      <c r="D18" s="112">
        <f>'1 (szegedi)'!D18+'1 (visegrádi)'!D18</f>
        <v>15890</v>
      </c>
      <c r="E18" s="113">
        <f>'1 (szegedi)'!E18+'1 (visegrádi)'!E18</f>
        <v>16345</v>
      </c>
      <c r="F18" s="114">
        <f t="shared" si="0"/>
        <v>1.0286343612334801</v>
      </c>
      <c r="G18" s="112">
        <f>'1 (szegedi)'!G18+'1 (visegrádi)'!G18</f>
        <v>77235</v>
      </c>
      <c r="H18" s="113">
        <f>'1 (szegedi)'!H18+'1 (visegrádi)'!H18</f>
        <v>80178</v>
      </c>
      <c r="I18" s="114">
        <f t="shared" si="1"/>
        <v>1.0381044863080209</v>
      </c>
      <c r="J18" s="112">
        <f>'1 (szegedi)'!J18+'1 (visegrádi)'!J18</f>
        <v>16326432</v>
      </c>
      <c r="K18" s="113">
        <f>'1 (szegedi)'!K18+'1 (visegrádi)'!K18</f>
        <v>16931270</v>
      </c>
      <c r="L18" s="114">
        <f t="shared" si="2"/>
        <v>1.0370465512611695</v>
      </c>
    </row>
    <row r="19" spans="1:12" ht="13.5" customHeight="1" x14ac:dyDescent="0.2">
      <c r="A19" s="503" t="s">
        <v>110</v>
      </c>
      <c r="B19" s="504"/>
      <c r="C19" s="504"/>
      <c r="D19" s="112">
        <f>'1 (szegedi)'!D19+'1 (visegrádi)'!D19</f>
        <v>2788</v>
      </c>
      <c r="E19" s="113">
        <f>'1 (szegedi)'!E19+'1 (visegrádi)'!E19</f>
        <v>2777</v>
      </c>
      <c r="F19" s="114">
        <f t="shared" si="0"/>
        <v>0.99605451936872313</v>
      </c>
      <c r="G19" s="112">
        <f>'1 (szegedi)'!G19+'1 (visegrádi)'!G19</f>
        <v>7684</v>
      </c>
      <c r="H19" s="113">
        <f>'1 (szegedi)'!H19+'1 (visegrádi)'!H19</f>
        <v>7757</v>
      </c>
      <c r="I19" s="114">
        <f t="shared" si="1"/>
        <v>1.0095002602811036</v>
      </c>
      <c r="J19" s="112">
        <f>'1 (szegedi)'!J19+'1 (visegrádi)'!J19</f>
        <v>3773557</v>
      </c>
      <c r="K19" s="113">
        <f>'1 (szegedi)'!K19+'1 (visegrádi)'!K19</f>
        <v>3755780</v>
      </c>
      <c r="L19" s="114">
        <f t="shared" si="2"/>
        <v>0.99528906016259988</v>
      </c>
    </row>
    <row r="20" spans="1:12" ht="13.5" customHeight="1" x14ac:dyDescent="0.2">
      <c r="A20" s="503" t="s">
        <v>111</v>
      </c>
      <c r="B20" s="504"/>
      <c r="C20" s="504"/>
      <c r="D20" s="112">
        <f>'1 (szegedi)'!D20+'1 (visegrádi)'!D20</f>
        <v>7099</v>
      </c>
      <c r="E20" s="113">
        <f>'1 (szegedi)'!E20+'1 (visegrádi)'!E20</f>
        <v>7627</v>
      </c>
      <c r="F20" s="114">
        <f t="shared" si="0"/>
        <v>1.0743766727708128</v>
      </c>
      <c r="G20" s="112">
        <f>'1 (szegedi)'!G20+'1 (visegrádi)'!G20</f>
        <v>26120</v>
      </c>
      <c r="H20" s="113">
        <f>'1 (szegedi)'!H20+'1 (visegrádi)'!H20</f>
        <v>27400</v>
      </c>
      <c r="I20" s="114">
        <f t="shared" si="1"/>
        <v>1.0490045941807045</v>
      </c>
      <c r="J20" s="112">
        <f>'1 (szegedi)'!J20+'1 (visegrádi)'!J20</f>
        <v>9833857</v>
      </c>
      <c r="K20" s="113">
        <f>'1 (szegedi)'!K20+'1 (visegrádi)'!K20</f>
        <v>10384380</v>
      </c>
      <c r="L20" s="114">
        <f t="shared" si="2"/>
        <v>1.0559824085300407</v>
      </c>
    </row>
    <row r="21" spans="1:12" ht="13.5" customHeight="1" x14ac:dyDescent="0.2">
      <c r="A21" s="503" t="s">
        <v>112</v>
      </c>
      <c r="B21" s="504"/>
      <c r="C21" s="504"/>
      <c r="D21" s="112">
        <f>'1 (szegedi)'!D21+'1 (visegrádi)'!D21</f>
        <v>22589</v>
      </c>
      <c r="E21" s="113">
        <f>'1 (szegedi)'!E21+'1 (visegrádi)'!E21</f>
        <v>22820</v>
      </c>
      <c r="F21" s="114">
        <f t="shared" si="0"/>
        <v>1.0102262162999691</v>
      </c>
      <c r="G21" s="112">
        <f>'1 (szegedi)'!G21+'1 (visegrádi)'!G21</f>
        <v>85890</v>
      </c>
      <c r="H21" s="113">
        <f>'1 (szegedi)'!H21+'1 (visegrádi)'!H21</f>
        <v>89398</v>
      </c>
      <c r="I21" s="114">
        <f t="shared" si="1"/>
        <v>1.0408429386424496</v>
      </c>
      <c r="J21" s="112">
        <f>'1 (szegedi)'!J21+'1 (visegrádi)'!J21</f>
        <v>28178379</v>
      </c>
      <c r="K21" s="113">
        <f>'1 (szegedi)'!K21+'1 (visegrádi)'!K21</f>
        <v>30032088</v>
      </c>
      <c r="L21" s="114">
        <f t="shared" si="2"/>
        <v>1.0657847990475251</v>
      </c>
    </row>
    <row r="22" spans="1:12" ht="13.5" customHeight="1" x14ac:dyDescent="0.2">
      <c r="A22" s="503" t="s">
        <v>113</v>
      </c>
      <c r="B22" s="504"/>
      <c r="C22" s="504"/>
      <c r="D22" s="112">
        <f>'1 (szegedi)'!D22+'1 (visegrádi)'!D22</f>
        <v>32018</v>
      </c>
      <c r="E22" s="113">
        <f>'1 (szegedi)'!E22+'1 (visegrádi)'!E22</f>
        <v>35202</v>
      </c>
      <c r="F22" s="114">
        <f t="shared" si="0"/>
        <v>1.0994440627147231</v>
      </c>
      <c r="G22" s="112">
        <f>'1 (szegedi)'!G22+'1 (visegrádi)'!G22</f>
        <v>84466</v>
      </c>
      <c r="H22" s="113">
        <f>'1 (szegedi)'!H22+'1 (visegrádi)'!H22</f>
        <v>96903</v>
      </c>
      <c r="I22" s="114">
        <f t="shared" si="1"/>
        <v>1.1472426775270523</v>
      </c>
      <c r="J22" s="112">
        <f>'1 (szegedi)'!J22+'1 (visegrádi)'!J22</f>
        <v>59597674</v>
      </c>
      <c r="K22" s="113">
        <f>'1 (szegedi)'!K22+'1 (visegrádi)'!K22</f>
        <v>67922908</v>
      </c>
      <c r="L22" s="114">
        <f t="shared" si="2"/>
        <v>1.1396905859111213</v>
      </c>
    </row>
    <row r="23" spans="1:12" ht="13.5" customHeight="1" x14ac:dyDescent="0.2">
      <c r="A23" s="503" t="s">
        <v>114</v>
      </c>
      <c r="B23" s="504"/>
      <c r="C23" s="504"/>
      <c r="D23" s="112">
        <f>'1 (szegedi)'!D23+'1 (visegrádi)'!D23</f>
        <v>37967</v>
      </c>
      <c r="E23" s="113">
        <f>'1 (szegedi)'!E23+'1 (visegrádi)'!E23</f>
        <v>35727</v>
      </c>
      <c r="F23" s="114">
        <f t="shared" si="0"/>
        <v>0.94100139594911369</v>
      </c>
      <c r="G23" s="112">
        <f>'1 (szegedi)'!G23+'1 (visegrádi)'!G23</f>
        <v>345781</v>
      </c>
      <c r="H23" s="113">
        <f>'1 (szegedi)'!H23+'1 (visegrádi)'!H23</f>
        <v>336144</v>
      </c>
      <c r="I23" s="114">
        <f t="shared" si="1"/>
        <v>0.97212975843091431</v>
      </c>
      <c r="J23" s="112">
        <f>'1 (szegedi)'!J23+'1 (visegrádi)'!J23</f>
        <v>54806001</v>
      </c>
      <c r="K23" s="113">
        <f>'1 (szegedi)'!K23+'1 (visegrádi)'!K23</f>
        <v>53237869</v>
      </c>
      <c r="L23" s="114">
        <f t="shared" si="2"/>
        <v>0.9713875858229466</v>
      </c>
    </row>
    <row r="24" spans="1:12" ht="13.5" customHeight="1" x14ac:dyDescent="0.2">
      <c r="A24" s="509" t="s">
        <v>190</v>
      </c>
      <c r="B24" s="510"/>
      <c r="C24" s="511"/>
      <c r="D24" s="112">
        <f>'1 (szegedi)'!D24+'1 (visegrádi)'!D24</f>
        <v>4861</v>
      </c>
      <c r="E24" s="113">
        <f>'1 (szegedi)'!E24+'1 (visegrádi)'!E24</f>
        <v>4445</v>
      </c>
      <c r="F24" s="114">
        <f t="shared" si="0"/>
        <v>0.91442090104916685</v>
      </c>
      <c r="G24" s="112">
        <f>'1 (szegedi)'!G24+'1 (visegrádi)'!G24</f>
        <v>7396</v>
      </c>
      <c r="H24" s="113">
        <f>'1 (szegedi)'!H24+'1 (visegrádi)'!H24</f>
        <v>7034</v>
      </c>
      <c r="I24" s="114">
        <f t="shared" si="1"/>
        <v>0.95105462412114661</v>
      </c>
      <c r="J24" s="112">
        <f>'1 (szegedi)'!J24+'1 (visegrádi)'!J24</f>
        <v>11037880</v>
      </c>
      <c r="K24" s="113">
        <f>'1 (szegedi)'!K24+'1 (visegrádi)'!K24</f>
        <v>10363262</v>
      </c>
      <c r="L24" s="114">
        <f t="shared" si="2"/>
        <v>0.93888156058953354</v>
      </c>
    </row>
    <row r="25" spans="1:12" ht="13.5" customHeight="1" x14ac:dyDescent="0.2">
      <c r="A25" s="503" t="s">
        <v>115</v>
      </c>
      <c r="B25" s="504"/>
      <c r="C25" s="504"/>
      <c r="D25" s="112">
        <f>'1 (szegedi)'!D25+'1 (visegrádi)'!D25</f>
        <v>67035</v>
      </c>
      <c r="E25" s="113">
        <f>'1 (szegedi)'!E25+'1 (visegrádi)'!E25</f>
        <v>63596</v>
      </c>
      <c r="F25" s="114">
        <f t="shared" si="0"/>
        <v>0.94869844111285151</v>
      </c>
      <c r="G25" s="112">
        <f>'1 (szegedi)'!G25+'1 (visegrádi)'!G25</f>
        <v>241230</v>
      </c>
      <c r="H25" s="113">
        <f>'1 (szegedi)'!H25+'1 (visegrádi)'!H25</f>
        <v>185526</v>
      </c>
      <c r="I25" s="114">
        <f t="shared" si="1"/>
        <v>0.76908344733242129</v>
      </c>
      <c r="J25" s="112">
        <f>'1 (szegedi)'!J25+'1 (visegrádi)'!J25</f>
        <v>44686597</v>
      </c>
      <c r="K25" s="113">
        <f>'1 (szegedi)'!K25+'1 (visegrádi)'!K25</f>
        <v>37121336</v>
      </c>
      <c r="L25" s="114">
        <f t="shared" si="2"/>
        <v>0.83070402519126707</v>
      </c>
    </row>
    <row r="26" spans="1:12" ht="13.5" customHeight="1" x14ac:dyDescent="0.2">
      <c r="A26" s="503" t="s">
        <v>116</v>
      </c>
      <c r="B26" s="504"/>
      <c r="C26" s="504"/>
      <c r="D26" s="112">
        <f>'1 (szegedi)'!D26+'1 (visegrádi)'!D26</f>
        <v>39541</v>
      </c>
      <c r="E26" s="113">
        <f>'1 (szegedi)'!E26+'1 (visegrádi)'!E26</f>
        <v>38186</v>
      </c>
      <c r="F26" s="114">
        <f t="shared" si="0"/>
        <v>0.96573177208467165</v>
      </c>
      <c r="G26" s="112">
        <f>'1 (szegedi)'!G26+'1 (visegrádi)'!G26</f>
        <v>277711</v>
      </c>
      <c r="H26" s="113">
        <f>'1 (szegedi)'!H26+'1 (visegrádi)'!H26</f>
        <v>262979</v>
      </c>
      <c r="I26" s="114">
        <f t="shared" si="1"/>
        <v>0.9469520472721642</v>
      </c>
      <c r="J26" s="112">
        <f>'1 (szegedi)'!J26+'1 (visegrádi)'!J26</f>
        <v>37158992</v>
      </c>
      <c r="K26" s="113">
        <f>'1 (szegedi)'!K26+'1 (visegrádi)'!K26</f>
        <v>35682474</v>
      </c>
      <c r="L26" s="114">
        <f t="shared" si="2"/>
        <v>0.9602648532554382</v>
      </c>
    </row>
    <row r="27" spans="1:12" ht="13.5" customHeight="1" x14ac:dyDescent="0.2">
      <c r="A27" s="503" t="s">
        <v>117</v>
      </c>
      <c r="B27" s="504"/>
      <c r="C27" s="504"/>
      <c r="D27" s="112">
        <f>'1 (szegedi)'!D27+'1 (visegrádi)'!D27</f>
        <v>214</v>
      </c>
      <c r="E27" s="113">
        <f>'1 (szegedi)'!E27+'1 (visegrádi)'!E27</f>
        <v>221</v>
      </c>
      <c r="F27" s="114">
        <f t="shared" si="0"/>
        <v>1.0327102803738317</v>
      </c>
      <c r="G27" s="112">
        <f>'1 (szegedi)'!G27+'1 (visegrádi)'!G27</f>
        <v>1086</v>
      </c>
      <c r="H27" s="113">
        <f>'1 (szegedi)'!H27+'1 (visegrádi)'!H27</f>
        <v>1117</v>
      </c>
      <c r="I27" s="114">
        <f t="shared" si="1"/>
        <v>1.0285451197053408</v>
      </c>
      <c r="J27" s="112">
        <f>'1 (szegedi)'!J27+'1 (visegrádi)'!J27</f>
        <v>309010</v>
      </c>
      <c r="K27" s="113">
        <f>'1 (szegedi)'!K27+'1 (visegrádi)'!K27</f>
        <v>284525</v>
      </c>
      <c r="L27" s="114">
        <f t="shared" si="2"/>
        <v>0.92076308210090285</v>
      </c>
    </row>
    <row r="28" spans="1:12" ht="13.5" customHeight="1" x14ac:dyDescent="0.2">
      <c r="A28" s="503" t="s">
        <v>118</v>
      </c>
      <c r="B28" s="504"/>
      <c r="C28" s="504"/>
      <c r="D28" s="112">
        <f>'1 (szegedi)'!D28+'1 (visegrádi)'!D28</f>
        <v>6218</v>
      </c>
      <c r="E28" s="113">
        <f>'1 (szegedi)'!E28+'1 (visegrádi)'!E28</f>
        <v>6308</v>
      </c>
      <c r="F28" s="114">
        <f t="shared" si="0"/>
        <v>1.0144741074300418</v>
      </c>
      <c r="G28" s="112">
        <f>'1 (szegedi)'!G28+'1 (visegrádi)'!G28</f>
        <v>15720</v>
      </c>
      <c r="H28" s="113">
        <f>'1 (szegedi)'!H28+'1 (visegrádi)'!H28</f>
        <v>15095</v>
      </c>
      <c r="I28" s="114">
        <f t="shared" si="1"/>
        <v>0.96024173027989823</v>
      </c>
      <c r="J28" s="112">
        <f>'1 (szegedi)'!J28+'1 (visegrádi)'!J28</f>
        <v>6145300</v>
      </c>
      <c r="K28" s="113">
        <f>'1 (szegedi)'!K28+'1 (visegrádi)'!K28</f>
        <v>6906730</v>
      </c>
      <c r="L28" s="114">
        <f t="shared" si="2"/>
        <v>1.1239044473011894</v>
      </c>
    </row>
    <row r="29" spans="1:12" ht="13.5" customHeight="1" x14ac:dyDescent="0.2">
      <c r="A29" s="115"/>
      <c r="B29" s="116"/>
      <c r="C29" s="116"/>
      <c r="D29" s="117"/>
      <c r="E29" s="118"/>
      <c r="F29" s="119"/>
      <c r="G29" s="120"/>
      <c r="H29" s="118"/>
      <c r="I29" s="119"/>
      <c r="J29" s="120"/>
      <c r="K29" s="118"/>
      <c r="L29" s="119"/>
    </row>
    <row r="30" spans="1:12" ht="13.5" customHeight="1" x14ac:dyDescent="0.2">
      <c r="A30" s="503" t="s">
        <v>119</v>
      </c>
      <c r="B30" s="504"/>
      <c r="C30" s="505"/>
      <c r="D30" s="121">
        <f>SUM(D4:D28)-D27-D28</f>
        <v>379280</v>
      </c>
      <c r="E30" s="113">
        <f>SUM(E4:E28)-E27-E28</f>
        <v>376821</v>
      </c>
      <c r="F30" s="114">
        <f>E30/D30</f>
        <v>0.99351666315123388</v>
      </c>
      <c r="G30" s="121">
        <f>SUM(G4:G28)-G27-G28</f>
        <v>1891911</v>
      </c>
      <c r="H30" s="113">
        <f>SUM(H4:H28)-H27-H28</f>
        <v>1834461</v>
      </c>
      <c r="I30" s="114">
        <f>H30/G30</f>
        <v>0.96963387812640234</v>
      </c>
      <c r="J30" s="121">
        <f>SUM(J4:J28)-J27-J28</f>
        <v>481972490</v>
      </c>
      <c r="K30" s="113">
        <f>SUM(K4:K28)-K27-K28</f>
        <v>482448365</v>
      </c>
      <c r="L30" s="114">
        <f>K30/J30</f>
        <v>1.0009873488837506</v>
      </c>
    </row>
    <row r="31" spans="1:12" ht="13.5" customHeight="1" thickBot="1" x14ac:dyDescent="0.25">
      <c r="A31" s="122"/>
      <c r="B31" s="123"/>
      <c r="C31" s="123"/>
      <c r="D31" s="124"/>
      <c r="E31" s="125"/>
      <c r="F31" s="126"/>
      <c r="G31" s="127"/>
      <c r="H31" s="125"/>
      <c r="I31" s="126"/>
      <c r="J31" s="127"/>
      <c r="K31" s="125"/>
      <c r="L31" s="126"/>
    </row>
    <row r="32" spans="1:12" ht="13.5" customHeight="1" thickBot="1" x14ac:dyDescent="0.25">
      <c r="A32" s="128" t="s">
        <v>120</v>
      </c>
      <c r="B32" s="129"/>
      <c r="C32" s="129"/>
      <c r="D32" s="130">
        <f>'1 (szegedi)'!D32+'1 (visegrádi)'!D32</f>
        <v>71300</v>
      </c>
      <c r="E32" s="131">
        <f>'1 (szegedi)'!E32+'1 (visegrádi)'!E32</f>
        <v>73115</v>
      </c>
      <c r="F32" s="132">
        <f t="shared" ref="F32" si="3">E32/D32</f>
        <v>1.0254558204768582</v>
      </c>
      <c r="G32" s="130">
        <f>'1 (szegedi)'!G32+'1 (visegrádi)'!G32</f>
        <v>1202362</v>
      </c>
      <c r="H32" s="131">
        <f>'1 (szegedi)'!H32+'1 (visegrádi)'!H32</f>
        <v>1282724</v>
      </c>
      <c r="I32" s="132">
        <f t="shared" ref="I32" si="4">H32/G32</f>
        <v>1.0668367762786914</v>
      </c>
      <c r="J32" s="130">
        <f>'1 (szegedi)'!J32+'1 (visegrádi)'!J32</f>
        <v>195536965</v>
      </c>
      <c r="K32" s="131">
        <f>'1 (szegedi)'!K32+'1 (visegrádi)'!K32</f>
        <v>210935828</v>
      </c>
      <c r="L32" s="132">
        <f t="shared" ref="L32" si="5">K32/J32</f>
        <v>1.0787516723500337</v>
      </c>
    </row>
    <row r="33" spans="1:12" ht="13.5" customHeight="1" thickBot="1" x14ac:dyDescent="0.25">
      <c r="A33" s="133" t="s">
        <v>121</v>
      </c>
      <c r="B33" s="134"/>
      <c r="C33" s="134"/>
      <c r="D33" s="130">
        <f>D27+D28</f>
        <v>6432</v>
      </c>
      <c r="E33" s="131">
        <f>E27+E28</f>
        <v>6529</v>
      </c>
      <c r="F33" s="132">
        <f>E33/D33</f>
        <v>1.0150808457711442</v>
      </c>
      <c r="G33" s="130">
        <f>G27+G28</f>
        <v>16806</v>
      </c>
      <c r="H33" s="131">
        <f>H27+H28</f>
        <v>16212</v>
      </c>
      <c r="I33" s="132">
        <f>H33/G33</f>
        <v>0.96465548018564795</v>
      </c>
      <c r="J33" s="130">
        <f>J27+J28</f>
        <v>6454310</v>
      </c>
      <c r="K33" s="131">
        <f>K27+K28</f>
        <v>7191255</v>
      </c>
      <c r="L33" s="132">
        <f>K33/J33</f>
        <v>1.1141787425766658</v>
      </c>
    </row>
    <row r="34" spans="1:12" ht="13.5" customHeight="1" x14ac:dyDescent="0.2">
      <c r="A34" s="506"/>
      <c r="B34" s="507"/>
      <c r="C34" s="508"/>
      <c r="D34" s="135"/>
      <c r="E34" s="136"/>
      <c r="F34" s="137"/>
      <c r="G34" s="135"/>
      <c r="H34" s="136"/>
      <c r="I34" s="137"/>
      <c r="J34" s="135"/>
      <c r="K34" s="136"/>
      <c r="L34" s="137"/>
    </row>
    <row r="35" spans="1:12" ht="13.5" customHeight="1" thickBot="1" x14ac:dyDescent="0.25">
      <c r="A35" s="500" t="s">
        <v>122</v>
      </c>
      <c r="B35" s="501"/>
      <c r="C35" s="502"/>
      <c r="D35" s="138">
        <f>SUM(D30:D33)</f>
        <v>457012</v>
      </c>
      <c r="E35" s="139">
        <f>SUM(E30:E33)</f>
        <v>456465</v>
      </c>
      <c r="F35" s="140">
        <f>E35/D35</f>
        <v>0.99880309488591112</v>
      </c>
      <c r="G35" s="139">
        <f>SUM(G30:G33)</f>
        <v>3111079</v>
      </c>
      <c r="H35" s="139">
        <f>SUM(H30:H33)</f>
        <v>3133397</v>
      </c>
      <c r="I35" s="140">
        <f>H35/G35</f>
        <v>1.0071737169001493</v>
      </c>
      <c r="J35" s="139">
        <f>SUM(J30:J33)</f>
        <v>683963765</v>
      </c>
      <c r="K35" s="139">
        <f>SUM(K30:K33)</f>
        <v>700575448</v>
      </c>
      <c r="L35" s="140">
        <f>K35/J35</f>
        <v>1.0242873728844393</v>
      </c>
    </row>
  </sheetData>
  <mergeCells count="35">
    <mergeCell ref="A1:C3"/>
    <mergeCell ref="D1:F1"/>
    <mergeCell ref="G1:I1"/>
    <mergeCell ref="J1:L1"/>
    <mergeCell ref="D2:F2"/>
    <mergeCell ref="G2:I2"/>
    <mergeCell ref="J2:L2"/>
    <mergeCell ref="A15:C15"/>
    <mergeCell ref="A4:C4"/>
    <mergeCell ref="A5:C5"/>
    <mergeCell ref="A6:C6"/>
    <mergeCell ref="A7:C7"/>
    <mergeCell ref="A8:C8"/>
    <mergeCell ref="A9:C9"/>
    <mergeCell ref="A10:C10"/>
    <mergeCell ref="A11:C11"/>
    <mergeCell ref="A12:C12"/>
    <mergeCell ref="A13:C13"/>
    <mergeCell ref="A14:C14"/>
    <mergeCell ref="A25:C2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35:C35"/>
    <mergeCell ref="A26:C26"/>
    <mergeCell ref="A27:C27"/>
    <mergeCell ref="A28:C28"/>
    <mergeCell ref="A30:C30"/>
    <mergeCell ref="A34:C34"/>
  </mergeCells>
  <conditionalFormatting sqref="A25:C65535 A1:A24 B1:C23 D1:IV65535">
    <cfRule type="cellIs" dxfId="44" priority="1" stopIfTrue="1" operator="equal">
      <formula>0</formula>
    </cfRule>
  </conditionalFormatting>
  <printOptions horizontalCentered="1" verticalCentered="1"/>
  <pageMargins left="0.70866141732283472" right="0.74803149606299213" top="0.98425196850393704" bottom="0.59055118110236227" header="0.31496062992125984" footer="0.31496062992125984"/>
  <pageSetup paperSize="9" scale="95" orientation="landscape" horizontalDpi="4294967294" r:id="rId1"/>
  <headerFooter alignWithMargins="0">
    <oddHeader>&amp;CA szervezeti egységek Teljesítmény mutatóinak összehasonlító táblája2013/2014. évben&amp;R1. sz. melléklet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opLeftCell="A36" zoomScaleNormal="100" workbookViewId="0">
      <selection activeCell="G36" sqref="G36"/>
    </sheetView>
  </sheetViews>
  <sheetFormatPr defaultColWidth="9" defaultRowHeight="13.5" customHeight="1" x14ac:dyDescent="0.2"/>
  <cols>
    <col min="1" max="3" width="9" style="107" customWidth="1"/>
    <col min="4" max="5" width="11.7109375" style="107" customWidth="1"/>
    <col min="6" max="6" width="11.7109375" style="141" customWidth="1"/>
    <col min="7" max="8" width="11.7109375" style="107" customWidth="1"/>
    <col min="9" max="9" width="11.7109375" style="141" customWidth="1"/>
    <col min="10" max="11" width="11.7109375" style="107" customWidth="1"/>
    <col min="12" max="12" width="11.7109375" style="141" customWidth="1"/>
    <col min="13" max="256" width="9" style="107"/>
    <col min="257" max="259" width="9" style="107" customWidth="1"/>
    <col min="260" max="268" width="11.7109375" style="107" customWidth="1"/>
    <col min="269" max="512" width="9" style="107"/>
    <col min="513" max="515" width="9" style="107" customWidth="1"/>
    <col min="516" max="524" width="11.7109375" style="107" customWidth="1"/>
    <col min="525" max="768" width="9" style="107"/>
    <col min="769" max="771" width="9" style="107" customWidth="1"/>
    <col min="772" max="780" width="11.7109375" style="107" customWidth="1"/>
    <col min="781" max="1024" width="9" style="107"/>
    <col min="1025" max="1027" width="9" style="107" customWidth="1"/>
    <col min="1028" max="1036" width="11.7109375" style="107" customWidth="1"/>
    <col min="1037" max="1280" width="9" style="107"/>
    <col min="1281" max="1283" width="9" style="107" customWidth="1"/>
    <col min="1284" max="1292" width="11.7109375" style="107" customWidth="1"/>
    <col min="1293" max="1536" width="9" style="107"/>
    <col min="1537" max="1539" width="9" style="107" customWidth="1"/>
    <col min="1540" max="1548" width="11.7109375" style="107" customWidth="1"/>
    <col min="1549" max="1792" width="9" style="107"/>
    <col min="1793" max="1795" width="9" style="107" customWidth="1"/>
    <col min="1796" max="1804" width="11.7109375" style="107" customWidth="1"/>
    <col min="1805" max="2048" width="9" style="107"/>
    <col min="2049" max="2051" width="9" style="107" customWidth="1"/>
    <col min="2052" max="2060" width="11.7109375" style="107" customWidth="1"/>
    <col min="2061" max="2304" width="9" style="107"/>
    <col min="2305" max="2307" width="9" style="107" customWidth="1"/>
    <col min="2308" max="2316" width="11.7109375" style="107" customWidth="1"/>
    <col min="2317" max="2560" width="9" style="107"/>
    <col min="2561" max="2563" width="9" style="107" customWidth="1"/>
    <col min="2564" max="2572" width="11.7109375" style="107" customWidth="1"/>
    <col min="2573" max="2816" width="9" style="107"/>
    <col min="2817" max="2819" width="9" style="107" customWidth="1"/>
    <col min="2820" max="2828" width="11.7109375" style="107" customWidth="1"/>
    <col min="2829" max="3072" width="9" style="107"/>
    <col min="3073" max="3075" width="9" style="107" customWidth="1"/>
    <col min="3076" max="3084" width="11.7109375" style="107" customWidth="1"/>
    <col min="3085" max="3328" width="9" style="107"/>
    <col min="3329" max="3331" width="9" style="107" customWidth="1"/>
    <col min="3332" max="3340" width="11.7109375" style="107" customWidth="1"/>
    <col min="3341" max="3584" width="9" style="107"/>
    <col min="3585" max="3587" width="9" style="107" customWidth="1"/>
    <col min="3588" max="3596" width="11.7109375" style="107" customWidth="1"/>
    <col min="3597" max="3840" width="9" style="107"/>
    <col min="3841" max="3843" width="9" style="107" customWidth="1"/>
    <col min="3844" max="3852" width="11.7109375" style="107" customWidth="1"/>
    <col min="3853" max="4096" width="9" style="107"/>
    <col min="4097" max="4099" width="9" style="107" customWidth="1"/>
    <col min="4100" max="4108" width="11.7109375" style="107" customWidth="1"/>
    <col min="4109" max="4352" width="9" style="107"/>
    <col min="4353" max="4355" width="9" style="107" customWidth="1"/>
    <col min="4356" max="4364" width="11.7109375" style="107" customWidth="1"/>
    <col min="4365" max="4608" width="9" style="107"/>
    <col min="4609" max="4611" width="9" style="107" customWidth="1"/>
    <col min="4612" max="4620" width="11.7109375" style="107" customWidth="1"/>
    <col min="4621" max="4864" width="9" style="107"/>
    <col min="4865" max="4867" width="9" style="107" customWidth="1"/>
    <col min="4868" max="4876" width="11.7109375" style="107" customWidth="1"/>
    <col min="4877" max="5120" width="9" style="107"/>
    <col min="5121" max="5123" width="9" style="107" customWidth="1"/>
    <col min="5124" max="5132" width="11.7109375" style="107" customWidth="1"/>
    <col min="5133" max="5376" width="9" style="107"/>
    <col min="5377" max="5379" width="9" style="107" customWidth="1"/>
    <col min="5380" max="5388" width="11.7109375" style="107" customWidth="1"/>
    <col min="5389" max="5632" width="9" style="107"/>
    <col min="5633" max="5635" width="9" style="107" customWidth="1"/>
    <col min="5636" max="5644" width="11.7109375" style="107" customWidth="1"/>
    <col min="5645" max="5888" width="9" style="107"/>
    <col min="5889" max="5891" width="9" style="107" customWidth="1"/>
    <col min="5892" max="5900" width="11.7109375" style="107" customWidth="1"/>
    <col min="5901" max="6144" width="9" style="107"/>
    <col min="6145" max="6147" width="9" style="107" customWidth="1"/>
    <col min="6148" max="6156" width="11.7109375" style="107" customWidth="1"/>
    <col min="6157" max="6400" width="9" style="107"/>
    <col min="6401" max="6403" width="9" style="107" customWidth="1"/>
    <col min="6404" max="6412" width="11.7109375" style="107" customWidth="1"/>
    <col min="6413" max="6656" width="9" style="107"/>
    <col min="6657" max="6659" width="9" style="107" customWidth="1"/>
    <col min="6660" max="6668" width="11.7109375" style="107" customWidth="1"/>
    <col min="6669" max="6912" width="9" style="107"/>
    <col min="6913" max="6915" width="9" style="107" customWidth="1"/>
    <col min="6916" max="6924" width="11.7109375" style="107" customWidth="1"/>
    <col min="6925" max="7168" width="9" style="107"/>
    <col min="7169" max="7171" width="9" style="107" customWidth="1"/>
    <col min="7172" max="7180" width="11.7109375" style="107" customWidth="1"/>
    <col min="7181" max="7424" width="9" style="107"/>
    <col min="7425" max="7427" width="9" style="107" customWidth="1"/>
    <col min="7428" max="7436" width="11.7109375" style="107" customWidth="1"/>
    <col min="7437" max="7680" width="9" style="107"/>
    <col min="7681" max="7683" width="9" style="107" customWidth="1"/>
    <col min="7684" max="7692" width="11.7109375" style="107" customWidth="1"/>
    <col min="7693" max="7936" width="9" style="107"/>
    <col min="7937" max="7939" width="9" style="107" customWidth="1"/>
    <col min="7940" max="7948" width="11.7109375" style="107" customWidth="1"/>
    <col min="7949" max="8192" width="9" style="107"/>
    <col min="8193" max="8195" width="9" style="107" customWidth="1"/>
    <col min="8196" max="8204" width="11.7109375" style="107" customWidth="1"/>
    <col min="8205" max="8448" width="9" style="107"/>
    <col min="8449" max="8451" width="9" style="107" customWidth="1"/>
    <col min="8452" max="8460" width="11.7109375" style="107" customWidth="1"/>
    <col min="8461" max="8704" width="9" style="107"/>
    <col min="8705" max="8707" width="9" style="107" customWidth="1"/>
    <col min="8708" max="8716" width="11.7109375" style="107" customWidth="1"/>
    <col min="8717" max="8960" width="9" style="107"/>
    <col min="8961" max="8963" width="9" style="107" customWidth="1"/>
    <col min="8964" max="8972" width="11.7109375" style="107" customWidth="1"/>
    <col min="8973" max="9216" width="9" style="107"/>
    <col min="9217" max="9219" width="9" style="107" customWidth="1"/>
    <col min="9220" max="9228" width="11.7109375" style="107" customWidth="1"/>
    <col min="9229" max="9472" width="9" style="107"/>
    <col min="9473" max="9475" width="9" style="107" customWidth="1"/>
    <col min="9476" max="9484" width="11.7109375" style="107" customWidth="1"/>
    <col min="9485" max="9728" width="9" style="107"/>
    <col min="9729" max="9731" width="9" style="107" customWidth="1"/>
    <col min="9732" max="9740" width="11.7109375" style="107" customWidth="1"/>
    <col min="9741" max="9984" width="9" style="107"/>
    <col min="9985" max="9987" width="9" style="107" customWidth="1"/>
    <col min="9988" max="9996" width="11.7109375" style="107" customWidth="1"/>
    <col min="9997" max="10240" width="9" style="107"/>
    <col min="10241" max="10243" width="9" style="107" customWidth="1"/>
    <col min="10244" max="10252" width="11.7109375" style="107" customWidth="1"/>
    <col min="10253" max="10496" width="9" style="107"/>
    <col min="10497" max="10499" width="9" style="107" customWidth="1"/>
    <col min="10500" max="10508" width="11.7109375" style="107" customWidth="1"/>
    <col min="10509" max="10752" width="9" style="107"/>
    <col min="10753" max="10755" width="9" style="107" customWidth="1"/>
    <col min="10756" max="10764" width="11.7109375" style="107" customWidth="1"/>
    <col min="10765" max="11008" width="9" style="107"/>
    <col min="11009" max="11011" width="9" style="107" customWidth="1"/>
    <col min="11012" max="11020" width="11.7109375" style="107" customWidth="1"/>
    <col min="11021" max="11264" width="9" style="107"/>
    <col min="11265" max="11267" width="9" style="107" customWidth="1"/>
    <col min="11268" max="11276" width="11.7109375" style="107" customWidth="1"/>
    <col min="11277" max="11520" width="9" style="107"/>
    <col min="11521" max="11523" width="9" style="107" customWidth="1"/>
    <col min="11524" max="11532" width="11.7109375" style="107" customWidth="1"/>
    <col min="11533" max="11776" width="9" style="107"/>
    <col min="11777" max="11779" width="9" style="107" customWidth="1"/>
    <col min="11780" max="11788" width="11.7109375" style="107" customWidth="1"/>
    <col min="11789" max="12032" width="9" style="107"/>
    <col min="12033" max="12035" width="9" style="107" customWidth="1"/>
    <col min="12036" max="12044" width="11.7109375" style="107" customWidth="1"/>
    <col min="12045" max="12288" width="9" style="107"/>
    <col min="12289" max="12291" width="9" style="107" customWidth="1"/>
    <col min="12292" max="12300" width="11.7109375" style="107" customWidth="1"/>
    <col min="12301" max="12544" width="9" style="107"/>
    <col min="12545" max="12547" width="9" style="107" customWidth="1"/>
    <col min="12548" max="12556" width="11.7109375" style="107" customWidth="1"/>
    <col min="12557" max="12800" width="9" style="107"/>
    <col min="12801" max="12803" width="9" style="107" customWidth="1"/>
    <col min="12804" max="12812" width="11.7109375" style="107" customWidth="1"/>
    <col min="12813" max="13056" width="9" style="107"/>
    <col min="13057" max="13059" width="9" style="107" customWidth="1"/>
    <col min="13060" max="13068" width="11.7109375" style="107" customWidth="1"/>
    <col min="13069" max="13312" width="9" style="107"/>
    <col min="13313" max="13315" width="9" style="107" customWidth="1"/>
    <col min="13316" max="13324" width="11.7109375" style="107" customWidth="1"/>
    <col min="13325" max="13568" width="9" style="107"/>
    <col min="13569" max="13571" width="9" style="107" customWidth="1"/>
    <col min="13572" max="13580" width="11.7109375" style="107" customWidth="1"/>
    <col min="13581" max="13824" width="9" style="107"/>
    <col min="13825" max="13827" width="9" style="107" customWidth="1"/>
    <col min="13828" max="13836" width="11.7109375" style="107" customWidth="1"/>
    <col min="13837" max="14080" width="9" style="107"/>
    <col min="14081" max="14083" width="9" style="107" customWidth="1"/>
    <col min="14084" max="14092" width="11.7109375" style="107" customWidth="1"/>
    <col min="14093" max="14336" width="9" style="107"/>
    <col min="14337" max="14339" width="9" style="107" customWidth="1"/>
    <col min="14340" max="14348" width="11.7109375" style="107" customWidth="1"/>
    <col min="14349" max="14592" width="9" style="107"/>
    <col min="14593" max="14595" width="9" style="107" customWidth="1"/>
    <col min="14596" max="14604" width="11.7109375" style="107" customWidth="1"/>
    <col min="14605" max="14848" width="9" style="107"/>
    <col min="14849" max="14851" width="9" style="107" customWidth="1"/>
    <col min="14852" max="14860" width="11.7109375" style="107" customWidth="1"/>
    <col min="14861" max="15104" width="9" style="107"/>
    <col min="15105" max="15107" width="9" style="107" customWidth="1"/>
    <col min="15108" max="15116" width="11.7109375" style="107" customWidth="1"/>
    <col min="15117" max="15360" width="9" style="107"/>
    <col min="15361" max="15363" width="9" style="107" customWidth="1"/>
    <col min="15364" max="15372" width="11.7109375" style="107" customWidth="1"/>
    <col min="15373" max="15616" width="9" style="107"/>
    <col min="15617" max="15619" width="9" style="107" customWidth="1"/>
    <col min="15620" max="15628" width="11.7109375" style="107" customWidth="1"/>
    <col min="15629" max="15872" width="9" style="107"/>
    <col min="15873" max="15875" width="9" style="107" customWidth="1"/>
    <col min="15876" max="15884" width="11.7109375" style="107" customWidth="1"/>
    <col min="15885" max="16128" width="9" style="107"/>
    <col min="16129" max="16131" width="9" style="107" customWidth="1"/>
    <col min="16132" max="16140" width="11.7109375" style="107" customWidth="1"/>
    <col min="16141" max="16384" width="9" style="107"/>
  </cols>
  <sheetData>
    <row r="1" spans="1:12" ht="13.5" customHeight="1" thickBot="1" x14ac:dyDescent="0.25">
      <c r="A1" s="514" t="s">
        <v>88</v>
      </c>
      <c r="B1" s="515"/>
      <c r="C1" s="516"/>
      <c r="D1" s="523" t="s">
        <v>89</v>
      </c>
      <c r="E1" s="524"/>
      <c r="F1" s="525"/>
      <c r="G1" s="524" t="s">
        <v>90</v>
      </c>
      <c r="H1" s="524"/>
      <c r="I1" s="525"/>
      <c r="J1" s="524" t="s">
        <v>91</v>
      </c>
      <c r="K1" s="524"/>
      <c r="L1" s="525"/>
    </row>
    <row r="2" spans="1:12" ht="13.5" customHeight="1" x14ac:dyDescent="0.2">
      <c r="A2" s="517"/>
      <c r="B2" s="518"/>
      <c r="C2" s="519"/>
      <c r="D2" s="520" t="s">
        <v>92</v>
      </c>
      <c r="E2" s="521"/>
      <c r="F2" s="522"/>
      <c r="G2" s="526" t="s">
        <v>93</v>
      </c>
      <c r="H2" s="527"/>
      <c r="I2" s="528"/>
      <c r="J2" s="526" t="s">
        <v>93</v>
      </c>
      <c r="K2" s="527"/>
      <c r="L2" s="528"/>
    </row>
    <row r="3" spans="1:12" ht="13.5" customHeight="1" x14ac:dyDescent="0.2">
      <c r="A3" s="520"/>
      <c r="B3" s="521"/>
      <c r="C3" s="522"/>
      <c r="D3" s="108">
        <v>2013</v>
      </c>
      <c r="E3" s="109">
        <v>2014</v>
      </c>
      <c r="F3" s="110" t="s">
        <v>94</v>
      </c>
      <c r="G3" s="108">
        <v>2013</v>
      </c>
      <c r="H3" s="109">
        <v>2014</v>
      </c>
      <c r="I3" s="111" t="s">
        <v>94</v>
      </c>
      <c r="J3" s="108">
        <v>2013</v>
      </c>
      <c r="K3" s="109">
        <v>2014</v>
      </c>
      <c r="L3" s="111" t="s">
        <v>94</v>
      </c>
    </row>
    <row r="4" spans="1:12" ht="13.5" customHeight="1" x14ac:dyDescent="0.2">
      <c r="A4" s="512" t="s">
        <v>95</v>
      </c>
      <c r="B4" s="513"/>
      <c r="C4" s="513"/>
      <c r="D4" s="121">
        <v>2531</v>
      </c>
      <c r="E4" s="113">
        <v>2488</v>
      </c>
      <c r="F4" s="114">
        <f t="shared" ref="F4:F26" si="0">E4/D4</f>
        <v>0.98301066772026868</v>
      </c>
      <c r="G4" s="121">
        <v>7258</v>
      </c>
      <c r="H4" s="113">
        <v>6780</v>
      </c>
      <c r="I4" s="114">
        <f t="shared" ref="I4:I26" si="1">H4/G4</f>
        <v>0.93414163681454943</v>
      </c>
      <c r="J4" s="121">
        <v>2736596</v>
      </c>
      <c r="K4" s="113">
        <v>2592966</v>
      </c>
      <c r="L4" s="114">
        <f t="shared" ref="L4:L26" si="2">K4/J4</f>
        <v>0.94751508808753648</v>
      </c>
    </row>
    <row r="5" spans="1:12" ht="13.5" customHeight="1" x14ac:dyDescent="0.2">
      <c r="A5" s="512" t="s">
        <v>96</v>
      </c>
      <c r="B5" s="513"/>
      <c r="C5" s="513"/>
      <c r="D5" s="121">
        <v>3538</v>
      </c>
      <c r="E5" s="142">
        <v>3484</v>
      </c>
      <c r="F5" s="114">
        <f t="shared" si="0"/>
        <v>0.9847371396269079</v>
      </c>
      <c r="G5" s="121">
        <v>10254</v>
      </c>
      <c r="H5" s="142">
        <v>10752</v>
      </c>
      <c r="I5" s="114">
        <f t="shared" si="1"/>
        <v>1.0485664131070802</v>
      </c>
      <c r="J5" s="121">
        <v>1688042</v>
      </c>
      <c r="K5" s="142">
        <v>1805231</v>
      </c>
      <c r="L5" s="114">
        <f t="shared" si="2"/>
        <v>1.0694230356827614</v>
      </c>
    </row>
    <row r="6" spans="1:12" ht="13.5" customHeight="1" x14ac:dyDescent="0.2">
      <c r="A6" s="512" t="s">
        <v>97</v>
      </c>
      <c r="B6" s="513"/>
      <c r="C6" s="513"/>
      <c r="D6" s="121">
        <v>2936</v>
      </c>
      <c r="E6" s="142">
        <v>2810</v>
      </c>
      <c r="F6" s="114">
        <f t="shared" si="0"/>
        <v>0.95708446866485009</v>
      </c>
      <c r="G6" s="121">
        <v>5729</v>
      </c>
      <c r="H6" s="142">
        <v>5398</v>
      </c>
      <c r="I6" s="114">
        <f t="shared" si="1"/>
        <v>0.94222377378250999</v>
      </c>
      <c r="J6" s="121">
        <v>6662080</v>
      </c>
      <c r="K6" s="142">
        <v>5824525</v>
      </c>
      <c r="L6" s="114">
        <f t="shared" si="2"/>
        <v>0.87428025481531291</v>
      </c>
    </row>
    <row r="7" spans="1:12" ht="13.5" customHeight="1" x14ac:dyDescent="0.2">
      <c r="A7" s="503" t="s">
        <v>217</v>
      </c>
      <c r="B7" s="504"/>
      <c r="C7" s="504"/>
      <c r="D7" s="121">
        <v>12640</v>
      </c>
      <c r="E7" s="142">
        <v>12268</v>
      </c>
      <c r="F7" s="114">
        <f t="shared" si="0"/>
        <v>0.97056962025316451</v>
      </c>
      <c r="G7" s="121">
        <v>30956</v>
      </c>
      <c r="H7" s="142">
        <v>30343</v>
      </c>
      <c r="I7" s="114">
        <f t="shared" si="1"/>
        <v>0.98019769996123529</v>
      </c>
      <c r="J7" s="121">
        <v>24129444</v>
      </c>
      <c r="K7" s="142">
        <v>23934422</v>
      </c>
      <c r="L7" s="114">
        <f t="shared" si="2"/>
        <v>0.99191767535132591</v>
      </c>
    </row>
    <row r="8" spans="1:12" ht="13.5" customHeight="1" x14ac:dyDescent="0.2">
      <c r="A8" s="503" t="s">
        <v>197</v>
      </c>
      <c r="B8" s="504"/>
      <c r="C8" s="504"/>
      <c r="D8" s="121">
        <v>20923</v>
      </c>
      <c r="E8" s="142">
        <v>23661</v>
      </c>
      <c r="F8" s="114">
        <f t="shared" si="0"/>
        <v>1.1308607752234383</v>
      </c>
      <c r="G8" s="121">
        <v>104871</v>
      </c>
      <c r="H8" s="142">
        <v>117004</v>
      </c>
      <c r="I8" s="114">
        <f t="shared" si="1"/>
        <v>1.1156945199340143</v>
      </c>
      <c r="J8" s="121">
        <v>34314647</v>
      </c>
      <c r="K8" s="142">
        <v>38579104</v>
      </c>
      <c r="L8" s="114">
        <f t="shared" si="2"/>
        <v>1.1242751236811499</v>
      </c>
    </row>
    <row r="9" spans="1:12" ht="13.5" customHeight="1" x14ac:dyDescent="0.2">
      <c r="A9" s="503" t="s">
        <v>198</v>
      </c>
      <c r="B9" s="504"/>
      <c r="C9" s="504"/>
      <c r="D9" s="121">
        <v>12504</v>
      </c>
      <c r="E9" s="142">
        <v>13641</v>
      </c>
      <c r="F9" s="114">
        <f t="shared" si="0"/>
        <v>1.0909309021113245</v>
      </c>
      <c r="G9" s="121">
        <v>55636</v>
      </c>
      <c r="H9" s="142">
        <v>60173</v>
      </c>
      <c r="I9" s="114">
        <f t="shared" si="1"/>
        <v>1.0815479186138472</v>
      </c>
      <c r="J9" s="121">
        <v>18362951</v>
      </c>
      <c r="K9" s="142">
        <v>19997428</v>
      </c>
      <c r="L9" s="114">
        <f t="shared" si="2"/>
        <v>1.0890094952603206</v>
      </c>
    </row>
    <row r="10" spans="1:12" ht="13.5" customHeight="1" x14ac:dyDescent="0.2">
      <c r="A10" s="503" t="s">
        <v>101</v>
      </c>
      <c r="B10" s="504"/>
      <c r="C10" s="504"/>
      <c r="D10" s="121">
        <v>2185</v>
      </c>
      <c r="E10" s="142">
        <v>2438</v>
      </c>
      <c r="F10" s="114">
        <f t="shared" si="0"/>
        <v>1.1157894736842104</v>
      </c>
      <c r="G10" s="121">
        <v>10088</v>
      </c>
      <c r="H10" s="142">
        <v>11269</v>
      </c>
      <c r="I10" s="114">
        <f t="shared" si="1"/>
        <v>1.1170697858842189</v>
      </c>
      <c r="J10" s="121">
        <v>3106207</v>
      </c>
      <c r="K10" s="142">
        <v>3469260</v>
      </c>
      <c r="L10" s="114">
        <f t="shared" si="2"/>
        <v>1.1168798473508044</v>
      </c>
    </row>
    <row r="11" spans="1:12" ht="13.5" customHeight="1" x14ac:dyDescent="0.2">
      <c r="A11" s="503" t="s">
        <v>102</v>
      </c>
      <c r="B11" s="504"/>
      <c r="C11" s="504"/>
      <c r="D11" s="121">
        <v>1152</v>
      </c>
      <c r="E11" s="142">
        <v>997</v>
      </c>
      <c r="F11" s="114">
        <f t="shared" si="0"/>
        <v>0.86545138888888884</v>
      </c>
      <c r="G11" s="121">
        <v>2272</v>
      </c>
      <c r="H11" s="142">
        <v>1985</v>
      </c>
      <c r="I11" s="114">
        <f t="shared" si="1"/>
        <v>0.87367957746478875</v>
      </c>
      <c r="J11" s="121">
        <v>1508532</v>
      </c>
      <c r="K11" s="142">
        <v>1319274</v>
      </c>
      <c r="L11" s="114">
        <f t="shared" si="2"/>
        <v>0.87454160733746455</v>
      </c>
    </row>
    <row r="12" spans="1:12" ht="13.5" customHeight="1" x14ac:dyDescent="0.2">
      <c r="A12" s="503" t="s">
        <v>103</v>
      </c>
      <c r="B12" s="504"/>
      <c r="C12" s="504"/>
      <c r="D12" s="121">
        <v>12480</v>
      </c>
      <c r="E12" s="142">
        <v>12064</v>
      </c>
      <c r="F12" s="114">
        <f t="shared" si="0"/>
        <v>0.96666666666666667</v>
      </c>
      <c r="G12" s="121">
        <v>48834</v>
      </c>
      <c r="H12" s="142">
        <v>45622</v>
      </c>
      <c r="I12" s="114">
        <f t="shared" si="1"/>
        <v>0.93422615390916164</v>
      </c>
      <c r="J12" s="121">
        <v>18446898</v>
      </c>
      <c r="K12" s="142">
        <v>16856737</v>
      </c>
      <c r="L12" s="114">
        <f t="shared" si="2"/>
        <v>0.91379791876119221</v>
      </c>
    </row>
    <row r="13" spans="1:12" ht="13.5" customHeight="1" x14ac:dyDescent="0.2">
      <c r="A13" s="503" t="s">
        <v>104</v>
      </c>
      <c r="B13" s="504"/>
      <c r="C13" s="504"/>
      <c r="D13" s="121">
        <v>10062</v>
      </c>
      <c r="E13" s="142">
        <v>11053</v>
      </c>
      <c r="F13" s="114">
        <f t="shared" si="0"/>
        <v>1.0984893659312265</v>
      </c>
      <c r="G13" s="121">
        <v>29281</v>
      </c>
      <c r="H13" s="142">
        <v>31075</v>
      </c>
      <c r="I13" s="114">
        <f t="shared" si="1"/>
        <v>1.0612683993033025</v>
      </c>
      <c r="J13" s="121">
        <v>8771980</v>
      </c>
      <c r="K13" s="142">
        <v>9350075</v>
      </c>
      <c r="L13" s="114">
        <f t="shared" si="2"/>
        <v>1.0659024530379686</v>
      </c>
    </row>
    <row r="14" spans="1:12" ht="13.5" customHeight="1" x14ac:dyDescent="0.2">
      <c r="A14" s="503" t="s">
        <v>105</v>
      </c>
      <c r="B14" s="504"/>
      <c r="C14" s="504"/>
      <c r="D14" s="121">
        <v>1604</v>
      </c>
      <c r="E14" s="142">
        <v>1607</v>
      </c>
      <c r="F14" s="114">
        <f t="shared" si="0"/>
        <v>1.0018703241895262</v>
      </c>
      <c r="G14" s="121">
        <v>11130</v>
      </c>
      <c r="H14" s="142">
        <v>11541</v>
      </c>
      <c r="I14" s="114">
        <f t="shared" si="1"/>
        <v>1.0369272237196765</v>
      </c>
      <c r="J14" s="121">
        <v>2457359</v>
      </c>
      <c r="K14" s="142">
        <v>2493872</v>
      </c>
      <c r="L14" s="114">
        <f t="shared" si="2"/>
        <v>1.0148586348189255</v>
      </c>
    </row>
    <row r="15" spans="1:12" ht="13.5" customHeight="1" x14ac:dyDescent="0.2">
      <c r="A15" s="503" t="s">
        <v>106</v>
      </c>
      <c r="B15" s="504"/>
      <c r="C15" s="504"/>
      <c r="D15" s="121">
        <v>13096</v>
      </c>
      <c r="E15" s="142">
        <v>12779</v>
      </c>
      <c r="F15" s="114">
        <f t="shared" si="0"/>
        <v>0.97579413561392792</v>
      </c>
      <c r="G15" s="121">
        <v>121641</v>
      </c>
      <c r="H15" s="142">
        <v>117741</v>
      </c>
      <c r="I15" s="114">
        <f t="shared" si="1"/>
        <v>0.96793844180827193</v>
      </c>
      <c r="J15" s="121">
        <v>21283894</v>
      </c>
      <c r="K15" s="142">
        <v>20740767</v>
      </c>
      <c r="L15" s="114">
        <f t="shared" si="2"/>
        <v>0.97448178420734477</v>
      </c>
    </row>
    <row r="16" spans="1:12" ht="13.5" customHeight="1" x14ac:dyDescent="0.2">
      <c r="A16" s="503" t="s">
        <v>196</v>
      </c>
      <c r="B16" s="504"/>
      <c r="C16" s="504"/>
      <c r="D16" s="121">
        <v>2558</v>
      </c>
      <c r="E16" s="142">
        <v>0</v>
      </c>
      <c r="F16" s="114">
        <f t="shared" si="0"/>
        <v>0</v>
      </c>
      <c r="G16" s="121">
        <v>6246</v>
      </c>
      <c r="H16" s="142">
        <v>0</v>
      </c>
      <c r="I16" s="114">
        <f t="shared" si="1"/>
        <v>0</v>
      </c>
      <c r="J16" s="121">
        <v>2600395</v>
      </c>
      <c r="K16" s="142">
        <v>0</v>
      </c>
      <c r="L16" s="114">
        <f t="shared" si="2"/>
        <v>0</v>
      </c>
    </row>
    <row r="17" spans="1:12" ht="13.5" customHeight="1" x14ac:dyDescent="0.2">
      <c r="A17" s="503" t="s">
        <v>108</v>
      </c>
      <c r="B17" s="504"/>
      <c r="C17" s="505"/>
      <c r="D17" s="121">
        <v>0</v>
      </c>
      <c r="E17" s="142">
        <v>0</v>
      </c>
      <c r="F17" s="114"/>
      <c r="G17" s="121">
        <v>0</v>
      </c>
      <c r="H17" s="142">
        <v>0</v>
      </c>
      <c r="I17" s="114"/>
      <c r="J17" s="121">
        <v>0</v>
      </c>
      <c r="K17" s="142">
        <v>0</v>
      </c>
      <c r="L17" s="114"/>
    </row>
    <row r="18" spans="1:12" ht="13.5" customHeight="1" x14ac:dyDescent="0.2">
      <c r="A18" s="503" t="s">
        <v>109</v>
      </c>
      <c r="B18" s="504"/>
      <c r="C18" s="504"/>
      <c r="D18" s="121">
        <v>9135</v>
      </c>
      <c r="E18" s="142">
        <v>9429</v>
      </c>
      <c r="F18" s="114">
        <f t="shared" si="0"/>
        <v>1.0321839080459769</v>
      </c>
      <c r="G18" s="121">
        <v>40373</v>
      </c>
      <c r="H18" s="142">
        <v>41067</v>
      </c>
      <c r="I18" s="114">
        <f t="shared" si="1"/>
        <v>1.0171897059916282</v>
      </c>
      <c r="J18" s="121">
        <v>9102306</v>
      </c>
      <c r="K18" s="142">
        <v>9421430</v>
      </c>
      <c r="L18" s="114">
        <f t="shared" si="2"/>
        <v>1.0350596870727045</v>
      </c>
    </row>
    <row r="19" spans="1:12" ht="13.5" customHeight="1" x14ac:dyDescent="0.2">
      <c r="A19" s="503" t="s">
        <v>110</v>
      </c>
      <c r="B19" s="504"/>
      <c r="C19" s="504"/>
      <c r="D19" s="121">
        <v>1137</v>
      </c>
      <c r="E19" s="142">
        <v>1031</v>
      </c>
      <c r="F19" s="114">
        <f t="shared" si="0"/>
        <v>0.90677220756376431</v>
      </c>
      <c r="G19" s="121">
        <v>2212</v>
      </c>
      <c r="H19" s="142">
        <v>1991</v>
      </c>
      <c r="I19" s="114">
        <f t="shared" si="1"/>
        <v>0.90009041591320071</v>
      </c>
      <c r="J19" s="121">
        <v>1263648</v>
      </c>
      <c r="K19" s="142">
        <v>1137298</v>
      </c>
      <c r="L19" s="114">
        <f t="shared" si="2"/>
        <v>0.90001171212236319</v>
      </c>
    </row>
    <row r="20" spans="1:12" ht="13.5" customHeight="1" x14ac:dyDescent="0.2">
      <c r="A20" s="503" t="s">
        <v>111</v>
      </c>
      <c r="B20" s="504"/>
      <c r="C20" s="504"/>
      <c r="D20" s="121">
        <v>7099</v>
      </c>
      <c r="E20" s="142">
        <v>7627</v>
      </c>
      <c r="F20" s="114">
        <f t="shared" si="0"/>
        <v>1.0743766727708128</v>
      </c>
      <c r="G20" s="121">
        <v>26120</v>
      </c>
      <c r="H20" s="142">
        <v>27400</v>
      </c>
      <c r="I20" s="114">
        <f t="shared" si="1"/>
        <v>1.0490045941807045</v>
      </c>
      <c r="J20" s="121">
        <v>9833857</v>
      </c>
      <c r="K20" s="142">
        <v>10384380</v>
      </c>
      <c r="L20" s="114">
        <f t="shared" si="2"/>
        <v>1.0559824085300407</v>
      </c>
    </row>
    <row r="21" spans="1:12" ht="13.5" customHeight="1" x14ac:dyDescent="0.2">
      <c r="A21" s="503" t="s">
        <v>112</v>
      </c>
      <c r="B21" s="504"/>
      <c r="C21" s="504"/>
      <c r="D21" s="121">
        <v>10923</v>
      </c>
      <c r="E21" s="142">
        <v>11027</v>
      </c>
      <c r="F21" s="114">
        <f t="shared" si="0"/>
        <v>1.0095211938112241</v>
      </c>
      <c r="G21" s="121">
        <v>45757</v>
      </c>
      <c r="H21" s="142">
        <v>46811</v>
      </c>
      <c r="I21" s="114">
        <f t="shared" si="1"/>
        <v>1.0230347269270275</v>
      </c>
      <c r="J21" s="121">
        <v>14962682</v>
      </c>
      <c r="K21" s="142">
        <v>15550987</v>
      </c>
      <c r="L21" s="114">
        <f t="shared" si="2"/>
        <v>1.0393181516522239</v>
      </c>
    </row>
    <row r="22" spans="1:12" ht="13.5" customHeight="1" x14ac:dyDescent="0.2">
      <c r="A22" s="503" t="s">
        <v>113</v>
      </c>
      <c r="B22" s="504"/>
      <c r="C22" s="504"/>
      <c r="D22" s="121">
        <v>30168</v>
      </c>
      <c r="E22" s="142">
        <v>35202</v>
      </c>
      <c r="F22" s="114">
        <f t="shared" si="0"/>
        <v>1.1668655529037391</v>
      </c>
      <c r="G22" s="121">
        <v>81634</v>
      </c>
      <c r="H22" s="142">
        <v>96903</v>
      </c>
      <c r="I22" s="114">
        <f t="shared" si="1"/>
        <v>1.1870421638042972</v>
      </c>
      <c r="J22" s="121">
        <v>57488897</v>
      </c>
      <c r="K22" s="142">
        <v>67922908</v>
      </c>
      <c r="L22" s="114">
        <f t="shared" si="2"/>
        <v>1.1814961069787093</v>
      </c>
    </row>
    <row r="23" spans="1:12" ht="13.5" customHeight="1" x14ac:dyDescent="0.2">
      <c r="A23" s="503" t="s">
        <v>114</v>
      </c>
      <c r="B23" s="504"/>
      <c r="C23" s="504"/>
      <c r="D23" s="121">
        <v>19385</v>
      </c>
      <c r="E23" s="142">
        <v>17908</v>
      </c>
      <c r="F23" s="114">
        <f t="shared" si="0"/>
        <v>0.92380706732009288</v>
      </c>
      <c r="G23" s="121">
        <v>197028</v>
      </c>
      <c r="H23" s="142">
        <v>185095</v>
      </c>
      <c r="I23" s="114">
        <f t="shared" si="1"/>
        <v>0.939435004161845</v>
      </c>
      <c r="J23" s="121">
        <v>28095092</v>
      </c>
      <c r="K23" s="142">
        <v>25836385</v>
      </c>
      <c r="L23" s="114">
        <f t="shared" si="2"/>
        <v>0.91960492601341193</v>
      </c>
    </row>
    <row r="24" spans="1:12" ht="13.5" customHeight="1" x14ac:dyDescent="0.2">
      <c r="A24" s="509" t="s">
        <v>190</v>
      </c>
      <c r="B24" s="510"/>
      <c r="C24" s="511"/>
      <c r="D24" s="121">
        <v>4861</v>
      </c>
      <c r="E24" s="142">
        <v>4445</v>
      </c>
      <c r="F24" s="114">
        <f t="shared" si="0"/>
        <v>0.91442090104916685</v>
      </c>
      <c r="G24" s="121">
        <v>7396</v>
      </c>
      <c r="H24" s="142">
        <v>7034</v>
      </c>
      <c r="I24" s="114">
        <f t="shared" si="1"/>
        <v>0.95105462412114661</v>
      </c>
      <c r="J24" s="121">
        <v>11037880</v>
      </c>
      <c r="K24" s="142">
        <v>10363262</v>
      </c>
      <c r="L24" s="114">
        <f t="shared" si="2"/>
        <v>0.93888156058953354</v>
      </c>
    </row>
    <row r="25" spans="1:12" ht="13.5" customHeight="1" x14ac:dyDescent="0.2">
      <c r="A25" s="503" t="s">
        <v>115</v>
      </c>
      <c r="B25" s="504"/>
      <c r="C25" s="504"/>
      <c r="D25" s="121">
        <v>42091</v>
      </c>
      <c r="E25" s="142">
        <v>38292</v>
      </c>
      <c r="F25" s="114">
        <f t="shared" si="0"/>
        <v>0.90974317550070083</v>
      </c>
      <c r="G25" s="121">
        <v>142764</v>
      </c>
      <c r="H25" s="142">
        <v>108360</v>
      </c>
      <c r="I25" s="114">
        <f t="shared" si="1"/>
        <v>0.75901487770026055</v>
      </c>
      <c r="J25" s="121">
        <v>25503014</v>
      </c>
      <c r="K25" s="142">
        <v>21037268</v>
      </c>
      <c r="L25" s="114">
        <f t="shared" si="2"/>
        <v>0.82489340279544998</v>
      </c>
    </row>
    <row r="26" spans="1:12" ht="13.5" customHeight="1" x14ac:dyDescent="0.2">
      <c r="A26" s="503" t="s">
        <v>116</v>
      </c>
      <c r="B26" s="504"/>
      <c r="C26" s="504"/>
      <c r="D26" s="121">
        <v>20228</v>
      </c>
      <c r="E26" s="142">
        <v>21884</v>
      </c>
      <c r="F26" s="114">
        <f t="shared" si="0"/>
        <v>1.0818667193988531</v>
      </c>
      <c r="G26" s="121">
        <v>142812</v>
      </c>
      <c r="H26" s="142">
        <v>152921</v>
      </c>
      <c r="I26" s="114">
        <f t="shared" si="1"/>
        <v>1.0707853681763437</v>
      </c>
      <c r="J26" s="121">
        <v>19781878</v>
      </c>
      <c r="K26" s="142">
        <v>21164812</v>
      </c>
      <c r="L26" s="114">
        <f t="shared" si="2"/>
        <v>1.0699091360284398</v>
      </c>
    </row>
    <row r="27" spans="1:12" ht="13.5" customHeight="1" x14ac:dyDescent="0.2">
      <c r="A27" s="503" t="s">
        <v>117</v>
      </c>
      <c r="B27" s="504"/>
      <c r="C27" s="504"/>
      <c r="D27" s="121"/>
      <c r="E27" s="113">
        <v>0</v>
      </c>
      <c r="F27" s="114"/>
      <c r="G27" s="121"/>
      <c r="H27" s="113"/>
      <c r="I27" s="114"/>
      <c r="J27" s="121"/>
      <c r="K27" s="113">
        <v>0</v>
      </c>
      <c r="L27" s="114"/>
    </row>
    <row r="28" spans="1:12" ht="13.5" customHeight="1" x14ac:dyDescent="0.2">
      <c r="A28" s="503" t="s">
        <v>118</v>
      </c>
      <c r="B28" s="504"/>
      <c r="C28" s="504"/>
      <c r="D28" s="117"/>
      <c r="E28" s="118"/>
      <c r="F28" s="114"/>
      <c r="G28" s="117"/>
      <c r="H28" s="118"/>
      <c r="I28" s="114"/>
      <c r="J28" s="117"/>
      <c r="K28" s="118"/>
      <c r="L28" s="114"/>
    </row>
    <row r="29" spans="1:12" ht="13.5" customHeight="1" x14ac:dyDescent="0.2">
      <c r="A29" s="115"/>
      <c r="B29" s="116"/>
      <c r="C29" s="116"/>
      <c r="D29" s="117"/>
      <c r="E29" s="118">
        <v>0</v>
      </c>
      <c r="F29" s="119"/>
      <c r="G29" s="117"/>
      <c r="H29" s="118"/>
      <c r="I29" s="119"/>
      <c r="J29" s="117"/>
      <c r="K29" s="118"/>
      <c r="L29" s="119"/>
    </row>
    <row r="30" spans="1:12" ht="13.5" customHeight="1" x14ac:dyDescent="0.2">
      <c r="A30" s="503" t="s">
        <v>119</v>
      </c>
      <c r="B30" s="504"/>
      <c r="C30" s="505"/>
      <c r="D30" s="121">
        <f>SUM(D4:D28)-D27-D28</f>
        <v>243236</v>
      </c>
      <c r="E30" s="113">
        <f>SUM(E4:E28)-E27-E28</f>
        <v>246135</v>
      </c>
      <c r="F30" s="114">
        <f>E30/D30</f>
        <v>1.0119184660165437</v>
      </c>
      <c r="G30" s="121">
        <f>SUM(G4:G28)-G27-G28</f>
        <v>1130292</v>
      </c>
      <c r="H30" s="113">
        <f>SUM(H4:H28)-H27-H28</f>
        <v>1117265</v>
      </c>
      <c r="I30" s="114">
        <f>H30/G30</f>
        <v>0.9884746596454721</v>
      </c>
      <c r="J30" s="121">
        <f>SUM(J4:J28)-J27-J28</f>
        <v>323138279</v>
      </c>
      <c r="K30" s="113">
        <f>SUM(K4:K28)-K27-K28</f>
        <v>329782391</v>
      </c>
      <c r="L30" s="114">
        <f>K30/J30</f>
        <v>1.0205612037687433</v>
      </c>
    </row>
    <row r="31" spans="1:12" ht="13.5" customHeight="1" thickBot="1" x14ac:dyDescent="0.25">
      <c r="A31" s="122"/>
      <c r="B31" s="123"/>
      <c r="C31" s="123"/>
      <c r="D31" s="124"/>
      <c r="E31" s="125"/>
      <c r="F31" s="126"/>
      <c r="G31" s="124"/>
      <c r="H31" s="125"/>
      <c r="I31" s="126"/>
      <c r="J31" s="124"/>
      <c r="K31" s="125"/>
      <c r="L31" s="126"/>
    </row>
    <row r="32" spans="1:12" ht="13.5" customHeight="1" thickBot="1" x14ac:dyDescent="0.25">
      <c r="A32" s="128" t="s">
        <v>120</v>
      </c>
      <c r="B32" s="129"/>
      <c r="C32" s="129"/>
      <c r="D32" s="130">
        <v>71300</v>
      </c>
      <c r="E32" s="131">
        <v>73115</v>
      </c>
      <c r="F32" s="132">
        <f>E32/D32</f>
        <v>1.0254558204768582</v>
      </c>
      <c r="G32" s="130">
        <v>1202362</v>
      </c>
      <c r="H32" s="131">
        <v>1282724</v>
      </c>
      <c r="I32" s="132">
        <f>H32/G32</f>
        <v>1.0668367762786914</v>
      </c>
      <c r="J32" s="130">
        <v>195536965</v>
      </c>
      <c r="K32" s="131">
        <v>210935828</v>
      </c>
      <c r="L32" s="132">
        <f>K32/J32</f>
        <v>1.0787516723500337</v>
      </c>
    </row>
    <row r="33" spans="1:12" ht="13.5" customHeight="1" thickBot="1" x14ac:dyDescent="0.25">
      <c r="A33" s="133" t="s">
        <v>121</v>
      </c>
      <c r="B33" s="134"/>
      <c r="C33" s="134"/>
      <c r="D33" s="130">
        <f>D27+D28</f>
        <v>0</v>
      </c>
      <c r="E33" s="143">
        <f>E27+E28</f>
        <v>0</v>
      </c>
      <c r="F33" s="132"/>
      <c r="G33" s="130">
        <f>G27+G28</f>
        <v>0</v>
      </c>
      <c r="H33" s="143">
        <f>H27+H28</f>
        <v>0</v>
      </c>
      <c r="I33" s="132"/>
      <c r="J33" s="130">
        <f>J27+J28</f>
        <v>0</v>
      </c>
      <c r="K33" s="143">
        <f>K27+K28</f>
        <v>0</v>
      </c>
      <c r="L33" s="132"/>
    </row>
    <row r="34" spans="1:12" ht="13.5" customHeight="1" x14ac:dyDescent="0.2">
      <c r="A34" s="506"/>
      <c r="B34" s="507"/>
      <c r="C34" s="508"/>
      <c r="D34" s="135"/>
      <c r="E34" s="136"/>
      <c r="F34" s="137"/>
      <c r="G34" s="135"/>
      <c r="H34" s="136"/>
      <c r="I34" s="137"/>
      <c r="J34" s="135"/>
      <c r="K34" s="136"/>
      <c r="L34" s="137"/>
    </row>
    <row r="35" spans="1:12" ht="13.5" customHeight="1" thickBot="1" x14ac:dyDescent="0.25">
      <c r="A35" s="500" t="s">
        <v>122</v>
      </c>
      <c r="B35" s="501"/>
      <c r="C35" s="502"/>
      <c r="D35" s="138">
        <f>SUM(D30:D33)</f>
        <v>314536</v>
      </c>
      <c r="E35" s="139">
        <f>SUM(E30:E33)</f>
        <v>319250</v>
      </c>
      <c r="F35" s="140">
        <f>E35/D35</f>
        <v>1.0149871556832921</v>
      </c>
      <c r="G35" s="139">
        <f>SUM(G30:G33)</f>
        <v>2332654</v>
      </c>
      <c r="H35" s="139">
        <f>SUM(H30:H33)</f>
        <v>2399989</v>
      </c>
      <c r="I35" s="140">
        <f>H35/G35</f>
        <v>1.0288662613486612</v>
      </c>
      <c r="J35" s="139">
        <f>SUM(J30:J33)</f>
        <v>518675244</v>
      </c>
      <c r="K35" s="139">
        <f>SUM(K30:K33)</f>
        <v>540718219</v>
      </c>
      <c r="L35" s="140">
        <f>K35/J35</f>
        <v>1.0424986063148216</v>
      </c>
    </row>
    <row r="37" spans="1:12" ht="13.5" customHeight="1" x14ac:dyDescent="0.2">
      <c r="A37" s="107" t="s">
        <v>215</v>
      </c>
    </row>
    <row r="38" spans="1:12" ht="13.5" customHeight="1" x14ac:dyDescent="0.2">
      <c r="A38" s="107" t="s">
        <v>216</v>
      </c>
    </row>
  </sheetData>
  <mergeCells count="35">
    <mergeCell ref="A1:C3"/>
    <mergeCell ref="D1:F1"/>
    <mergeCell ref="G1:I1"/>
    <mergeCell ref="J1:L1"/>
    <mergeCell ref="D2:F2"/>
    <mergeCell ref="G2:I2"/>
    <mergeCell ref="J2:L2"/>
    <mergeCell ref="A15:C15"/>
    <mergeCell ref="A4:C4"/>
    <mergeCell ref="A5:C5"/>
    <mergeCell ref="A6:C6"/>
    <mergeCell ref="A7:C7"/>
    <mergeCell ref="A8:C8"/>
    <mergeCell ref="A9:C9"/>
    <mergeCell ref="A10:C10"/>
    <mergeCell ref="A11:C11"/>
    <mergeCell ref="A12:C12"/>
    <mergeCell ref="A13:C13"/>
    <mergeCell ref="A14:C14"/>
    <mergeCell ref="A25:C2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35:C35"/>
    <mergeCell ref="A26:C26"/>
    <mergeCell ref="A27:C27"/>
    <mergeCell ref="A28:C28"/>
    <mergeCell ref="A30:C30"/>
    <mergeCell ref="A34:C34"/>
  </mergeCells>
  <conditionalFormatting sqref="A25:C65535 A1:A24 B1:C23 D1:IV65535">
    <cfRule type="cellIs" dxfId="43" priority="11" stopIfTrue="1" operator="equal">
      <formula>0</formula>
    </cfRule>
  </conditionalFormatting>
  <conditionalFormatting sqref="D30:E30">
    <cfRule type="cellIs" dxfId="42" priority="7" stopIfTrue="1" operator="equal">
      <formula>0</formula>
    </cfRule>
  </conditionalFormatting>
  <conditionalFormatting sqref="G30:H30">
    <cfRule type="cellIs" dxfId="41" priority="6" stopIfTrue="1" operator="equal">
      <formula>0</formula>
    </cfRule>
  </conditionalFormatting>
  <conditionalFormatting sqref="J30:K30">
    <cfRule type="cellIs" dxfId="40" priority="5" stopIfTrue="1" operator="equal">
      <formula>0</formula>
    </cfRule>
  </conditionalFormatting>
  <conditionalFormatting sqref="D30:E30">
    <cfRule type="cellIs" dxfId="39" priority="3" stopIfTrue="1" operator="equal">
      <formula>0</formula>
    </cfRule>
  </conditionalFormatting>
  <conditionalFormatting sqref="G30:H30">
    <cfRule type="cellIs" dxfId="38" priority="2" stopIfTrue="1" operator="equal">
      <formula>0</formula>
    </cfRule>
  </conditionalFormatting>
  <conditionalFormatting sqref="J30:K30">
    <cfRule type="cellIs" dxfId="37" priority="1" stopIfTrue="1" operator="equal">
      <formula>0</formula>
    </cfRule>
  </conditionalFormatting>
  <printOptions horizontalCentered="1" verticalCentered="1"/>
  <pageMargins left="0.70866141732283472" right="0.74803149606299213" top="0.98425196850393704" bottom="0.39370078740157483" header="0.31496062992125984" footer="0.19685039370078741"/>
  <pageSetup paperSize="9" scale="95" orientation="landscape" horizontalDpi="4294967294" r:id="rId1"/>
  <headerFooter alignWithMargins="0">
    <oddHeader>&amp;CA szervezeti egységek Teljesítmény mutatóinak összehasonlító táblája2013/2014. évben (Szegedi úti szakrendelő)&amp;R1/a. sz. melléklet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opLeftCell="M1" zoomScaleNormal="100" workbookViewId="0">
      <selection activeCell="N35" sqref="N35"/>
    </sheetView>
  </sheetViews>
  <sheetFormatPr defaultColWidth="9" defaultRowHeight="13.5" customHeight="1" x14ac:dyDescent="0.2"/>
  <cols>
    <col min="1" max="3" width="9" style="107" customWidth="1"/>
    <col min="4" max="5" width="11.7109375" style="107" customWidth="1"/>
    <col min="6" max="6" width="11.7109375" style="141" customWidth="1"/>
    <col min="7" max="8" width="11.7109375" style="107" customWidth="1"/>
    <col min="9" max="9" width="11.7109375" style="141" customWidth="1"/>
    <col min="10" max="11" width="11.7109375" style="107" customWidth="1"/>
    <col min="12" max="12" width="11.7109375" style="141" customWidth="1"/>
    <col min="13" max="256" width="9" style="107"/>
    <col min="257" max="259" width="9" style="107" customWidth="1"/>
    <col min="260" max="268" width="11.7109375" style="107" customWidth="1"/>
    <col min="269" max="512" width="9" style="107"/>
    <col min="513" max="515" width="9" style="107" customWidth="1"/>
    <col min="516" max="524" width="11.7109375" style="107" customWidth="1"/>
    <col min="525" max="768" width="9" style="107"/>
    <col min="769" max="771" width="9" style="107" customWidth="1"/>
    <col min="772" max="780" width="11.7109375" style="107" customWidth="1"/>
    <col min="781" max="1024" width="9" style="107"/>
    <col min="1025" max="1027" width="9" style="107" customWidth="1"/>
    <col min="1028" max="1036" width="11.7109375" style="107" customWidth="1"/>
    <col min="1037" max="1280" width="9" style="107"/>
    <col min="1281" max="1283" width="9" style="107" customWidth="1"/>
    <col min="1284" max="1292" width="11.7109375" style="107" customWidth="1"/>
    <col min="1293" max="1536" width="9" style="107"/>
    <col min="1537" max="1539" width="9" style="107" customWidth="1"/>
    <col min="1540" max="1548" width="11.7109375" style="107" customWidth="1"/>
    <col min="1549" max="1792" width="9" style="107"/>
    <col min="1793" max="1795" width="9" style="107" customWidth="1"/>
    <col min="1796" max="1804" width="11.7109375" style="107" customWidth="1"/>
    <col min="1805" max="2048" width="9" style="107"/>
    <col min="2049" max="2051" width="9" style="107" customWidth="1"/>
    <col min="2052" max="2060" width="11.7109375" style="107" customWidth="1"/>
    <col min="2061" max="2304" width="9" style="107"/>
    <col min="2305" max="2307" width="9" style="107" customWidth="1"/>
    <col min="2308" max="2316" width="11.7109375" style="107" customWidth="1"/>
    <col min="2317" max="2560" width="9" style="107"/>
    <col min="2561" max="2563" width="9" style="107" customWidth="1"/>
    <col min="2564" max="2572" width="11.7109375" style="107" customWidth="1"/>
    <col min="2573" max="2816" width="9" style="107"/>
    <col min="2817" max="2819" width="9" style="107" customWidth="1"/>
    <col min="2820" max="2828" width="11.7109375" style="107" customWidth="1"/>
    <col min="2829" max="3072" width="9" style="107"/>
    <col min="3073" max="3075" width="9" style="107" customWidth="1"/>
    <col min="3076" max="3084" width="11.7109375" style="107" customWidth="1"/>
    <col min="3085" max="3328" width="9" style="107"/>
    <col min="3329" max="3331" width="9" style="107" customWidth="1"/>
    <col min="3332" max="3340" width="11.7109375" style="107" customWidth="1"/>
    <col min="3341" max="3584" width="9" style="107"/>
    <col min="3585" max="3587" width="9" style="107" customWidth="1"/>
    <col min="3588" max="3596" width="11.7109375" style="107" customWidth="1"/>
    <col min="3597" max="3840" width="9" style="107"/>
    <col min="3841" max="3843" width="9" style="107" customWidth="1"/>
    <col min="3844" max="3852" width="11.7109375" style="107" customWidth="1"/>
    <col min="3853" max="4096" width="9" style="107"/>
    <col min="4097" max="4099" width="9" style="107" customWidth="1"/>
    <col min="4100" max="4108" width="11.7109375" style="107" customWidth="1"/>
    <col min="4109" max="4352" width="9" style="107"/>
    <col min="4353" max="4355" width="9" style="107" customWidth="1"/>
    <col min="4356" max="4364" width="11.7109375" style="107" customWidth="1"/>
    <col min="4365" max="4608" width="9" style="107"/>
    <col min="4609" max="4611" width="9" style="107" customWidth="1"/>
    <col min="4612" max="4620" width="11.7109375" style="107" customWidth="1"/>
    <col min="4621" max="4864" width="9" style="107"/>
    <col min="4865" max="4867" width="9" style="107" customWidth="1"/>
    <col min="4868" max="4876" width="11.7109375" style="107" customWidth="1"/>
    <col min="4877" max="5120" width="9" style="107"/>
    <col min="5121" max="5123" width="9" style="107" customWidth="1"/>
    <col min="5124" max="5132" width="11.7109375" style="107" customWidth="1"/>
    <col min="5133" max="5376" width="9" style="107"/>
    <col min="5377" max="5379" width="9" style="107" customWidth="1"/>
    <col min="5380" max="5388" width="11.7109375" style="107" customWidth="1"/>
    <col min="5389" max="5632" width="9" style="107"/>
    <col min="5633" max="5635" width="9" style="107" customWidth="1"/>
    <col min="5636" max="5644" width="11.7109375" style="107" customWidth="1"/>
    <col min="5645" max="5888" width="9" style="107"/>
    <col min="5889" max="5891" width="9" style="107" customWidth="1"/>
    <col min="5892" max="5900" width="11.7109375" style="107" customWidth="1"/>
    <col min="5901" max="6144" width="9" style="107"/>
    <col min="6145" max="6147" width="9" style="107" customWidth="1"/>
    <col min="6148" max="6156" width="11.7109375" style="107" customWidth="1"/>
    <col min="6157" max="6400" width="9" style="107"/>
    <col min="6401" max="6403" width="9" style="107" customWidth="1"/>
    <col min="6404" max="6412" width="11.7109375" style="107" customWidth="1"/>
    <col min="6413" max="6656" width="9" style="107"/>
    <col min="6657" max="6659" width="9" style="107" customWidth="1"/>
    <col min="6660" max="6668" width="11.7109375" style="107" customWidth="1"/>
    <col min="6669" max="6912" width="9" style="107"/>
    <col min="6913" max="6915" width="9" style="107" customWidth="1"/>
    <col min="6916" max="6924" width="11.7109375" style="107" customWidth="1"/>
    <col min="6925" max="7168" width="9" style="107"/>
    <col min="7169" max="7171" width="9" style="107" customWidth="1"/>
    <col min="7172" max="7180" width="11.7109375" style="107" customWidth="1"/>
    <col min="7181" max="7424" width="9" style="107"/>
    <col min="7425" max="7427" width="9" style="107" customWidth="1"/>
    <col min="7428" max="7436" width="11.7109375" style="107" customWidth="1"/>
    <col min="7437" max="7680" width="9" style="107"/>
    <col min="7681" max="7683" width="9" style="107" customWidth="1"/>
    <col min="7684" max="7692" width="11.7109375" style="107" customWidth="1"/>
    <col min="7693" max="7936" width="9" style="107"/>
    <col min="7937" max="7939" width="9" style="107" customWidth="1"/>
    <col min="7940" max="7948" width="11.7109375" style="107" customWidth="1"/>
    <col min="7949" max="8192" width="9" style="107"/>
    <col min="8193" max="8195" width="9" style="107" customWidth="1"/>
    <col min="8196" max="8204" width="11.7109375" style="107" customWidth="1"/>
    <col min="8205" max="8448" width="9" style="107"/>
    <col min="8449" max="8451" width="9" style="107" customWidth="1"/>
    <col min="8452" max="8460" width="11.7109375" style="107" customWidth="1"/>
    <col min="8461" max="8704" width="9" style="107"/>
    <col min="8705" max="8707" width="9" style="107" customWidth="1"/>
    <col min="8708" max="8716" width="11.7109375" style="107" customWidth="1"/>
    <col min="8717" max="8960" width="9" style="107"/>
    <col min="8961" max="8963" width="9" style="107" customWidth="1"/>
    <col min="8964" max="8972" width="11.7109375" style="107" customWidth="1"/>
    <col min="8973" max="9216" width="9" style="107"/>
    <col min="9217" max="9219" width="9" style="107" customWidth="1"/>
    <col min="9220" max="9228" width="11.7109375" style="107" customWidth="1"/>
    <col min="9229" max="9472" width="9" style="107"/>
    <col min="9473" max="9475" width="9" style="107" customWidth="1"/>
    <col min="9476" max="9484" width="11.7109375" style="107" customWidth="1"/>
    <col min="9485" max="9728" width="9" style="107"/>
    <col min="9729" max="9731" width="9" style="107" customWidth="1"/>
    <col min="9732" max="9740" width="11.7109375" style="107" customWidth="1"/>
    <col min="9741" max="9984" width="9" style="107"/>
    <col min="9985" max="9987" width="9" style="107" customWidth="1"/>
    <col min="9988" max="9996" width="11.7109375" style="107" customWidth="1"/>
    <col min="9997" max="10240" width="9" style="107"/>
    <col min="10241" max="10243" width="9" style="107" customWidth="1"/>
    <col min="10244" max="10252" width="11.7109375" style="107" customWidth="1"/>
    <col min="10253" max="10496" width="9" style="107"/>
    <col min="10497" max="10499" width="9" style="107" customWidth="1"/>
    <col min="10500" max="10508" width="11.7109375" style="107" customWidth="1"/>
    <col min="10509" max="10752" width="9" style="107"/>
    <col min="10753" max="10755" width="9" style="107" customWidth="1"/>
    <col min="10756" max="10764" width="11.7109375" style="107" customWidth="1"/>
    <col min="10765" max="11008" width="9" style="107"/>
    <col min="11009" max="11011" width="9" style="107" customWidth="1"/>
    <col min="11012" max="11020" width="11.7109375" style="107" customWidth="1"/>
    <col min="11021" max="11264" width="9" style="107"/>
    <col min="11265" max="11267" width="9" style="107" customWidth="1"/>
    <col min="11268" max="11276" width="11.7109375" style="107" customWidth="1"/>
    <col min="11277" max="11520" width="9" style="107"/>
    <col min="11521" max="11523" width="9" style="107" customWidth="1"/>
    <col min="11524" max="11532" width="11.7109375" style="107" customWidth="1"/>
    <col min="11533" max="11776" width="9" style="107"/>
    <col min="11777" max="11779" width="9" style="107" customWidth="1"/>
    <col min="11780" max="11788" width="11.7109375" style="107" customWidth="1"/>
    <col min="11789" max="12032" width="9" style="107"/>
    <col min="12033" max="12035" width="9" style="107" customWidth="1"/>
    <col min="12036" max="12044" width="11.7109375" style="107" customWidth="1"/>
    <col min="12045" max="12288" width="9" style="107"/>
    <col min="12289" max="12291" width="9" style="107" customWidth="1"/>
    <col min="12292" max="12300" width="11.7109375" style="107" customWidth="1"/>
    <col min="12301" max="12544" width="9" style="107"/>
    <col min="12545" max="12547" width="9" style="107" customWidth="1"/>
    <col min="12548" max="12556" width="11.7109375" style="107" customWidth="1"/>
    <col min="12557" max="12800" width="9" style="107"/>
    <col min="12801" max="12803" width="9" style="107" customWidth="1"/>
    <col min="12804" max="12812" width="11.7109375" style="107" customWidth="1"/>
    <col min="12813" max="13056" width="9" style="107"/>
    <col min="13057" max="13059" width="9" style="107" customWidth="1"/>
    <col min="13060" max="13068" width="11.7109375" style="107" customWidth="1"/>
    <col min="13069" max="13312" width="9" style="107"/>
    <col min="13313" max="13315" width="9" style="107" customWidth="1"/>
    <col min="13316" max="13324" width="11.7109375" style="107" customWidth="1"/>
    <col min="13325" max="13568" width="9" style="107"/>
    <col min="13569" max="13571" width="9" style="107" customWidth="1"/>
    <col min="13572" max="13580" width="11.7109375" style="107" customWidth="1"/>
    <col min="13581" max="13824" width="9" style="107"/>
    <col min="13825" max="13827" width="9" style="107" customWidth="1"/>
    <col min="13828" max="13836" width="11.7109375" style="107" customWidth="1"/>
    <col min="13837" max="14080" width="9" style="107"/>
    <col min="14081" max="14083" width="9" style="107" customWidth="1"/>
    <col min="14084" max="14092" width="11.7109375" style="107" customWidth="1"/>
    <col min="14093" max="14336" width="9" style="107"/>
    <col min="14337" max="14339" width="9" style="107" customWidth="1"/>
    <col min="14340" max="14348" width="11.7109375" style="107" customWidth="1"/>
    <col min="14349" max="14592" width="9" style="107"/>
    <col min="14593" max="14595" width="9" style="107" customWidth="1"/>
    <col min="14596" max="14604" width="11.7109375" style="107" customWidth="1"/>
    <col min="14605" max="14848" width="9" style="107"/>
    <col min="14849" max="14851" width="9" style="107" customWidth="1"/>
    <col min="14852" max="14860" width="11.7109375" style="107" customWidth="1"/>
    <col min="14861" max="15104" width="9" style="107"/>
    <col min="15105" max="15107" width="9" style="107" customWidth="1"/>
    <col min="15108" max="15116" width="11.7109375" style="107" customWidth="1"/>
    <col min="15117" max="15360" width="9" style="107"/>
    <col min="15361" max="15363" width="9" style="107" customWidth="1"/>
    <col min="15364" max="15372" width="11.7109375" style="107" customWidth="1"/>
    <col min="15373" max="15616" width="9" style="107"/>
    <col min="15617" max="15619" width="9" style="107" customWidth="1"/>
    <col min="15620" max="15628" width="11.7109375" style="107" customWidth="1"/>
    <col min="15629" max="15872" width="9" style="107"/>
    <col min="15873" max="15875" width="9" style="107" customWidth="1"/>
    <col min="15876" max="15884" width="11.7109375" style="107" customWidth="1"/>
    <col min="15885" max="16128" width="9" style="107"/>
    <col min="16129" max="16131" width="9" style="107" customWidth="1"/>
    <col min="16132" max="16140" width="11.7109375" style="107" customWidth="1"/>
    <col min="16141" max="16384" width="9" style="107"/>
  </cols>
  <sheetData>
    <row r="1" spans="1:12" ht="13.5" customHeight="1" thickBot="1" x14ac:dyDescent="0.25">
      <c r="A1" s="514" t="s">
        <v>88</v>
      </c>
      <c r="B1" s="515"/>
      <c r="C1" s="516"/>
      <c r="D1" s="523" t="s">
        <v>89</v>
      </c>
      <c r="E1" s="524"/>
      <c r="F1" s="525"/>
      <c r="G1" s="524" t="s">
        <v>90</v>
      </c>
      <c r="H1" s="524"/>
      <c r="I1" s="525"/>
      <c r="J1" s="524" t="s">
        <v>91</v>
      </c>
      <c r="K1" s="524"/>
      <c r="L1" s="525"/>
    </row>
    <row r="2" spans="1:12" ht="13.5" customHeight="1" x14ac:dyDescent="0.2">
      <c r="A2" s="517"/>
      <c r="B2" s="518"/>
      <c r="C2" s="519"/>
      <c r="D2" s="520" t="s">
        <v>92</v>
      </c>
      <c r="E2" s="521"/>
      <c r="F2" s="522"/>
      <c r="G2" s="526" t="s">
        <v>93</v>
      </c>
      <c r="H2" s="527"/>
      <c r="I2" s="528"/>
      <c r="J2" s="526" t="s">
        <v>93</v>
      </c>
      <c r="K2" s="527"/>
      <c r="L2" s="528"/>
    </row>
    <row r="3" spans="1:12" ht="13.5" customHeight="1" x14ac:dyDescent="0.2">
      <c r="A3" s="520"/>
      <c r="B3" s="521"/>
      <c r="C3" s="522"/>
      <c r="D3" s="108">
        <v>2013</v>
      </c>
      <c r="E3" s="109">
        <v>2014</v>
      </c>
      <c r="F3" s="110" t="s">
        <v>94</v>
      </c>
      <c r="G3" s="108">
        <v>2013</v>
      </c>
      <c r="H3" s="109">
        <v>2014</v>
      </c>
      <c r="I3" s="111" t="s">
        <v>94</v>
      </c>
      <c r="J3" s="108">
        <v>2013</v>
      </c>
      <c r="K3" s="109">
        <v>2014</v>
      </c>
      <c r="L3" s="111" t="s">
        <v>94</v>
      </c>
    </row>
    <row r="4" spans="1:12" ht="13.5" customHeight="1" x14ac:dyDescent="0.2">
      <c r="A4" s="512" t="s">
        <v>95</v>
      </c>
      <c r="B4" s="513"/>
      <c r="C4" s="513"/>
      <c r="D4" s="121"/>
      <c r="E4" s="113"/>
      <c r="F4" s="144"/>
      <c r="G4" s="145"/>
      <c r="H4" s="113"/>
      <c r="I4" s="144"/>
      <c r="J4" s="145"/>
      <c r="K4" s="113"/>
      <c r="L4" s="144"/>
    </row>
    <row r="5" spans="1:12" ht="13.5" customHeight="1" x14ac:dyDescent="0.2">
      <c r="A5" s="512" t="s">
        <v>96</v>
      </c>
      <c r="B5" s="513"/>
      <c r="C5" s="513"/>
      <c r="D5" s="121"/>
      <c r="E5" s="113"/>
      <c r="F5" s="114"/>
      <c r="G5" s="121"/>
      <c r="H5" s="113"/>
      <c r="I5" s="114"/>
      <c r="J5" s="142"/>
      <c r="K5" s="113"/>
      <c r="L5" s="114"/>
    </row>
    <row r="6" spans="1:12" ht="13.5" customHeight="1" x14ac:dyDescent="0.2">
      <c r="A6" s="512" t="s">
        <v>97</v>
      </c>
      <c r="B6" s="513"/>
      <c r="C6" s="513"/>
      <c r="D6" s="121"/>
      <c r="E6" s="113"/>
      <c r="F6" s="114"/>
      <c r="G6" s="121"/>
      <c r="H6" s="113"/>
      <c r="I6" s="114"/>
      <c r="J6" s="142"/>
      <c r="K6" s="113"/>
      <c r="L6" s="114"/>
    </row>
    <row r="7" spans="1:12" ht="13.5" customHeight="1" x14ac:dyDescent="0.2">
      <c r="A7" s="503" t="s">
        <v>98</v>
      </c>
      <c r="B7" s="504"/>
      <c r="C7" s="504"/>
      <c r="D7" s="121"/>
      <c r="E7" s="113"/>
      <c r="F7" s="114"/>
      <c r="G7" s="121"/>
      <c r="H7" s="113"/>
      <c r="I7" s="114"/>
      <c r="J7" s="142"/>
      <c r="K7" s="113"/>
      <c r="L7" s="114"/>
    </row>
    <row r="8" spans="1:12" ht="13.5" customHeight="1" x14ac:dyDescent="0.2">
      <c r="A8" s="503" t="s">
        <v>197</v>
      </c>
      <c r="B8" s="504"/>
      <c r="C8" s="504"/>
      <c r="D8" s="121">
        <v>2289</v>
      </c>
      <c r="E8" s="113"/>
      <c r="F8" s="114">
        <f>E8/D8</f>
        <v>0</v>
      </c>
      <c r="G8" s="121">
        <v>12456</v>
      </c>
      <c r="H8" s="113"/>
      <c r="I8" s="114">
        <f>H8/G8</f>
        <v>0</v>
      </c>
      <c r="J8" s="142">
        <v>3984020</v>
      </c>
      <c r="K8" s="113"/>
      <c r="L8" s="114">
        <f>K8/J8</f>
        <v>0</v>
      </c>
    </row>
    <row r="9" spans="1:12" ht="13.5" customHeight="1" x14ac:dyDescent="0.2">
      <c r="A9" s="503" t="s">
        <v>198</v>
      </c>
      <c r="B9" s="504"/>
      <c r="C9" s="504"/>
      <c r="D9" s="121">
        <v>1127</v>
      </c>
      <c r="E9" s="113"/>
      <c r="F9" s="114">
        <f>E9/D9</f>
        <v>0</v>
      </c>
      <c r="G9" s="121">
        <v>5408</v>
      </c>
      <c r="H9" s="113"/>
      <c r="I9" s="114">
        <f>H9/G9</f>
        <v>0</v>
      </c>
      <c r="J9" s="142">
        <v>1652812</v>
      </c>
      <c r="K9" s="113"/>
      <c r="L9" s="114">
        <f>K9/J9</f>
        <v>0</v>
      </c>
    </row>
    <row r="10" spans="1:12" ht="13.5" customHeight="1" x14ac:dyDescent="0.2">
      <c r="A10" s="503" t="s">
        <v>101</v>
      </c>
      <c r="B10" s="504"/>
      <c r="C10" s="504"/>
      <c r="D10" s="121">
        <v>0</v>
      </c>
      <c r="E10" s="113"/>
      <c r="F10" s="114"/>
      <c r="G10" s="121">
        <v>0</v>
      </c>
      <c r="H10" s="113"/>
      <c r="I10" s="114"/>
      <c r="J10" s="142">
        <v>0</v>
      </c>
      <c r="K10" s="113"/>
      <c r="L10" s="114"/>
    </row>
    <row r="11" spans="1:12" ht="13.5" customHeight="1" x14ac:dyDescent="0.2">
      <c r="A11" s="503" t="s">
        <v>102</v>
      </c>
      <c r="B11" s="504"/>
      <c r="C11" s="504"/>
      <c r="D11" s="121">
        <v>0</v>
      </c>
      <c r="E11" s="113"/>
      <c r="F11" s="114"/>
      <c r="G11" s="121">
        <v>0</v>
      </c>
      <c r="H11" s="113"/>
      <c r="I11" s="114"/>
      <c r="J11" s="142">
        <v>0</v>
      </c>
      <c r="K11" s="113"/>
      <c r="L11" s="114"/>
    </row>
    <row r="12" spans="1:12" ht="13.5" customHeight="1" x14ac:dyDescent="0.2">
      <c r="A12" s="503" t="s">
        <v>103</v>
      </c>
      <c r="B12" s="504"/>
      <c r="C12" s="504"/>
      <c r="D12" s="121">
        <v>10872</v>
      </c>
      <c r="E12" s="113">
        <v>10244</v>
      </c>
      <c r="F12" s="114">
        <f>E12/D12</f>
        <v>0.94223693892568061</v>
      </c>
      <c r="G12" s="121">
        <v>36769</v>
      </c>
      <c r="H12" s="113">
        <v>39261</v>
      </c>
      <c r="I12" s="114">
        <f>H12/G12</f>
        <v>1.0677744839402759</v>
      </c>
      <c r="J12" s="142">
        <v>13179309</v>
      </c>
      <c r="K12" s="113">
        <v>13322194</v>
      </c>
      <c r="L12" s="114">
        <f>K12/J12</f>
        <v>1.0108416154443303</v>
      </c>
    </row>
    <row r="13" spans="1:12" ht="13.5" customHeight="1" x14ac:dyDescent="0.2">
      <c r="A13" s="503" t="s">
        <v>104</v>
      </c>
      <c r="B13" s="504"/>
      <c r="C13" s="504"/>
      <c r="D13" s="121">
        <v>11310</v>
      </c>
      <c r="E13" s="113">
        <v>11055</v>
      </c>
      <c r="F13" s="114">
        <f>E13/D13</f>
        <v>0.97745358090185674</v>
      </c>
      <c r="G13" s="121">
        <v>51898</v>
      </c>
      <c r="H13" s="113">
        <v>50093</v>
      </c>
      <c r="I13" s="114">
        <f>H13/G13</f>
        <v>0.96522023970095183</v>
      </c>
      <c r="J13" s="142">
        <v>11597517</v>
      </c>
      <c r="K13" s="113">
        <v>11372816</v>
      </c>
      <c r="L13" s="114">
        <f>K13/J13</f>
        <v>0.98062507690223688</v>
      </c>
    </row>
    <row r="14" spans="1:12" ht="13.5" customHeight="1" x14ac:dyDescent="0.2">
      <c r="A14" s="503" t="s">
        <v>105</v>
      </c>
      <c r="B14" s="504"/>
      <c r="C14" s="504"/>
      <c r="D14" s="121">
        <v>0</v>
      </c>
      <c r="E14" s="113">
        <v>0</v>
      </c>
      <c r="F14" s="114"/>
      <c r="G14" s="121">
        <v>0</v>
      </c>
      <c r="H14" s="113">
        <v>0</v>
      </c>
      <c r="I14" s="114"/>
      <c r="J14" s="142">
        <v>0</v>
      </c>
      <c r="K14" s="113">
        <v>0</v>
      </c>
      <c r="L14" s="114"/>
    </row>
    <row r="15" spans="1:12" ht="13.5" customHeight="1" x14ac:dyDescent="0.2">
      <c r="A15" s="503" t="s">
        <v>106</v>
      </c>
      <c r="B15" s="504"/>
      <c r="C15" s="504"/>
      <c r="D15" s="121">
        <v>12104</v>
      </c>
      <c r="E15" s="113">
        <v>12078</v>
      </c>
      <c r="F15" s="114">
        <f>E15/D15</f>
        <v>0.99785194976867153</v>
      </c>
      <c r="G15" s="121">
        <v>126420</v>
      </c>
      <c r="H15" s="113">
        <v>121444</v>
      </c>
      <c r="I15" s="114">
        <f>H15/G15</f>
        <v>0.96063913937668088</v>
      </c>
      <c r="J15" s="142">
        <v>20725454</v>
      </c>
      <c r="K15" s="113">
        <v>20230966</v>
      </c>
      <c r="L15" s="114">
        <f>K15/J15</f>
        <v>0.9761410292869821</v>
      </c>
    </row>
    <row r="16" spans="1:12" ht="13.5" customHeight="1" x14ac:dyDescent="0.2">
      <c r="A16" s="503" t="s">
        <v>196</v>
      </c>
      <c r="B16" s="504"/>
      <c r="C16" s="504"/>
      <c r="D16" s="121">
        <v>12085</v>
      </c>
      <c r="E16" s="113">
        <v>15892</v>
      </c>
      <c r="F16" s="114">
        <f>E16/D16</f>
        <v>1.3150186181216383</v>
      </c>
      <c r="G16" s="121">
        <v>43035</v>
      </c>
      <c r="H16" s="113">
        <v>59016</v>
      </c>
      <c r="I16" s="114">
        <f>H16/G16</f>
        <v>1.3713489020564658</v>
      </c>
      <c r="J16" s="142">
        <v>13260514</v>
      </c>
      <c r="K16" s="113">
        <v>18012438</v>
      </c>
      <c r="L16" s="114">
        <f>K16/J16</f>
        <v>1.3583514183537682</v>
      </c>
    </row>
    <row r="17" spans="1:12" ht="13.5" customHeight="1" x14ac:dyDescent="0.2">
      <c r="A17" s="503" t="s">
        <v>108</v>
      </c>
      <c r="B17" s="504"/>
      <c r="C17" s="505"/>
      <c r="D17" s="121">
        <v>1496</v>
      </c>
      <c r="E17" s="113">
        <v>1537</v>
      </c>
      <c r="F17" s="114">
        <f>E17/D17</f>
        <v>1.0274064171122994</v>
      </c>
      <c r="G17" s="121">
        <v>18216</v>
      </c>
      <c r="H17" s="113">
        <v>21645</v>
      </c>
      <c r="I17" s="114">
        <f>H17/G17</f>
        <v>1.1882411067193677</v>
      </c>
      <c r="J17" s="142">
        <v>6104470</v>
      </c>
      <c r="K17" s="113">
        <v>7114923</v>
      </c>
      <c r="L17" s="114">
        <f>K17/J17</f>
        <v>1.1655267369648799</v>
      </c>
    </row>
    <row r="18" spans="1:12" ht="13.5" customHeight="1" x14ac:dyDescent="0.2">
      <c r="A18" s="503" t="s">
        <v>109</v>
      </c>
      <c r="B18" s="504"/>
      <c r="C18" s="504"/>
      <c r="D18" s="121">
        <v>6755</v>
      </c>
      <c r="E18" s="113">
        <v>6916</v>
      </c>
      <c r="F18" s="114">
        <f>E18/D18</f>
        <v>1.0238341968911917</v>
      </c>
      <c r="G18" s="121">
        <v>36862</v>
      </c>
      <c r="H18" s="113">
        <v>39111</v>
      </c>
      <c r="I18" s="114">
        <f>H18/G18</f>
        <v>1.0610113395909067</v>
      </c>
      <c r="J18" s="142">
        <v>7224126</v>
      </c>
      <c r="K18" s="113">
        <v>7509840</v>
      </c>
      <c r="L18" s="114">
        <f>K18/J18</f>
        <v>1.0395499746266883</v>
      </c>
    </row>
    <row r="19" spans="1:12" ht="13.5" customHeight="1" x14ac:dyDescent="0.2">
      <c r="A19" s="503" t="s">
        <v>110</v>
      </c>
      <c r="B19" s="504"/>
      <c r="C19" s="504"/>
      <c r="D19" s="121">
        <v>1651</v>
      </c>
      <c r="E19" s="113">
        <v>1746</v>
      </c>
      <c r="F19" s="114">
        <f>E19/D19</f>
        <v>1.0575408843125378</v>
      </c>
      <c r="G19" s="121">
        <v>5472</v>
      </c>
      <c r="H19" s="113">
        <v>5766</v>
      </c>
      <c r="I19" s="114">
        <f>H19/G19</f>
        <v>1.0537280701754386</v>
      </c>
      <c r="J19" s="142">
        <v>2509909</v>
      </c>
      <c r="K19" s="113">
        <v>2618482</v>
      </c>
      <c r="L19" s="114">
        <f>K19/J19</f>
        <v>1.0432577436074375</v>
      </c>
    </row>
    <row r="20" spans="1:12" ht="13.5" customHeight="1" x14ac:dyDescent="0.2">
      <c r="A20" s="503" t="s">
        <v>111</v>
      </c>
      <c r="B20" s="504"/>
      <c r="C20" s="504"/>
      <c r="D20" s="121">
        <v>0</v>
      </c>
      <c r="E20" s="113">
        <v>0</v>
      </c>
      <c r="F20" s="114"/>
      <c r="G20" s="121">
        <v>0</v>
      </c>
      <c r="H20" s="113">
        <v>0</v>
      </c>
      <c r="I20" s="114"/>
      <c r="J20" s="142">
        <v>0</v>
      </c>
      <c r="K20" s="113">
        <v>0</v>
      </c>
      <c r="L20" s="114"/>
    </row>
    <row r="21" spans="1:12" ht="13.5" customHeight="1" x14ac:dyDescent="0.2">
      <c r="A21" s="503" t="s">
        <v>112</v>
      </c>
      <c r="B21" s="504"/>
      <c r="C21" s="504"/>
      <c r="D21" s="121">
        <v>11666</v>
      </c>
      <c r="E21" s="113">
        <v>11793</v>
      </c>
      <c r="F21" s="114">
        <f>E21/D21</f>
        <v>1.0108863363620779</v>
      </c>
      <c r="G21" s="121">
        <v>40133</v>
      </c>
      <c r="H21" s="113">
        <v>42587</v>
      </c>
      <c r="I21" s="114">
        <f>H21/G21</f>
        <v>1.0611466872648443</v>
      </c>
      <c r="J21" s="142">
        <v>13215697</v>
      </c>
      <c r="K21" s="113">
        <v>14481101</v>
      </c>
      <c r="L21" s="114">
        <f>K21/J21</f>
        <v>1.0957500765945225</v>
      </c>
    </row>
    <row r="22" spans="1:12" ht="13.5" customHeight="1" x14ac:dyDescent="0.2">
      <c r="A22" s="503" t="s">
        <v>113</v>
      </c>
      <c r="B22" s="504"/>
      <c r="C22" s="504"/>
      <c r="D22" s="121">
        <v>1850</v>
      </c>
      <c r="E22" s="113">
        <v>0</v>
      </c>
      <c r="F22" s="114"/>
      <c r="G22" s="121">
        <v>2832</v>
      </c>
      <c r="H22" s="113">
        <v>0</v>
      </c>
      <c r="I22" s="114"/>
      <c r="J22" s="142">
        <v>2108777</v>
      </c>
      <c r="K22" s="113">
        <v>0</v>
      </c>
      <c r="L22" s="114"/>
    </row>
    <row r="23" spans="1:12" ht="13.5" customHeight="1" x14ac:dyDescent="0.2">
      <c r="A23" s="503" t="s">
        <v>114</v>
      </c>
      <c r="B23" s="504"/>
      <c r="C23" s="504"/>
      <c r="D23" s="121">
        <v>18582</v>
      </c>
      <c r="E23" s="113">
        <v>17819</v>
      </c>
      <c r="F23" s="114">
        <f t="shared" ref="F23:F28" si="0">E23/D23</f>
        <v>0.95893875793778927</v>
      </c>
      <c r="G23" s="121">
        <v>148753</v>
      </c>
      <c r="H23" s="113">
        <v>151049</v>
      </c>
      <c r="I23" s="114">
        <f t="shared" ref="I23:I28" si="1">H23/G23</f>
        <v>1.0154349828238758</v>
      </c>
      <c r="J23" s="142">
        <v>26710909</v>
      </c>
      <c r="K23" s="113">
        <v>27401484</v>
      </c>
      <c r="L23" s="114">
        <f t="shared" ref="L23:L28" si="2">K23/J23</f>
        <v>1.0258536690009314</v>
      </c>
    </row>
    <row r="24" spans="1:12" ht="13.5" customHeight="1" x14ac:dyDescent="0.2">
      <c r="A24" s="509" t="s">
        <v>190</v>
      </c>
      <c r="B24" s="510"/>
      <c r="C24" s="511"/>
      <c r="D24" s="121">
        <v>0</v>
      </c>
      <c r="E24" s="113">
        <v>0</v>
      </c>
      <c r="F24" s="114"/>
      <c r="G24" s="121">
        <v>0</v>
      </c>
      <c r="H24" s="113">
        <v>0</v>
      </c>
      <c r="I24" s="114"/>
      <c r="J24" s="142">
        <v>0</v>
      </c>
      <c r="K24" s="113">
        <v>0</v>
      </c>
      <c r="L24" s="114"/>
    </row>
    <row r="25" spans="1:12" ht="13.5" customHeight="1" x14ac:dyDescent="0.2">
      <c r="A25" s="503" t="s">
        <v>115</v>
      </c>
      <c r="B25" s="504"/>
      <c r="C25" s="504"/>
      <c r="D25" s="121">
        <v>24944</v>
      </c>
      <c r="E25" s="113">
        <v>25304</v>
      </c>
      <c r="F25" s="114">
        <f t="shared" si="0"/>
        <v>1.0144323284156511</v>
      </c>
      <c r="G25" s="121">
        <v>98466</v>
      </c>
      <c r="H25" s="113">
        <v>77166</v>
      </c>
      <c r="I25" s="114">
        <f t="shared" si="1"/>
        <v>0.78368167692401436</v>
      </c>
      <c r="J25" s="142">
        <v>19183583</v>
      </c>
      <c r="K25" s="113">
        <v>16084068</v>
      </c>
      <c r="L25" s="114">
        <f t="shared" si="2"/>
        <v>0.83842877527102211</v>
      </c>
    </row>
    <row r="26" spans="1:12" ht="13.5" customHeight="1" x14ac:dyDescent="0.2">
      <c r="A26" s="503" t="s">
        <v>116</v>
      </c>
      <c r="B26" s="504"/>
      <c r="C26" s="504"/>
      <c r="D26" s="121">
        <v>19313</v>
      </c>
      <c r="E26" s="113">
        <v>16302</v>
      </c>
      <c r="F26" s="114">
        <f t="shared" si="0"/>
        <v>0.84409465127116445</v>
      </c>
      <c r="G26" s="121">
        <v>134899</v>
      </c>
      <c r="H26" s="113">
        <v>110058</v>
      </c>
      <c r="I26" s="114">
        <f t="shared" si="1"/>
        <v>0.81585482472071702</v>
      </c>
      <c r="J26" s="142">
        <v>17377114</v>
      </c>
      <c r="K26" s="113">
        <v>14517662</v>
      </c>
      <c r="L26" s="114">
        <f t="shared" si="2"/>
        <v>0.83544724400150683</v>
      </c>
    </row>
    <row r="27" spans="1:12" ht="13.5" customHeight="1" x14ac:dyDescent="0.2">
      <c r="A27" s="503" t="s">
        <v>117</v>
      </c>
      <c r="B27" s="504"/>
      <c r="C27" s="504"/>
      <c r="D27" s="117">
        <v>214</v>
      </c>
      <c r="E27" s="113">
        <v>221</v>
      </c>
      <c r="F27" s="114">
        <f t="shared" si="0"/>
        <v>1.0327102803738317</v>
      </c>
      <c r="G27" s="120">
        <v>1086</v>
      </c>
      <c r="H27" s="113">
        <v>1117</v>
      </c>
      <c r="I27" s="114">
        <f t="shared" si="1"/>
        <v>1.0285451197053408</v>
      </c>
      <c r="J27" s="146">
        <v>309010</v>
      </c>
      <c r="K27" s="113">
        <v>284525</v>
      </c>
      <c r="L27" s="114">
        <f t="shared" si="2"/>
        <v>0.92076308210090285</v>
      </c>
    </row>
    <row r="28" spans="1:12" ht="13.5" customHeight="1" x14ac:dyDescent="0.2">
      <c r="A28" s="503" t="s">
        <v>118</v>
      </c>
      <c r="B28" s="504"/>
      <c r="C28" s="504"/>
      <c r="D28" s="117">
        <v>6218</v>
      </c>
      <c r="E28" s="118">
        <v>6308</v>
      </c>
      <c r="F28" s="114">
        <f t="shared" si="0"/>
        <v>1.0144741074300418</v>
      </c>
      <c r="G28" s="120">
        <v>15720</v>
      </c>
      <c r="H28" s="118">
        <v>15095</v>
      </c>
      <c r="I28" s="114">
        <f t="shared" si="1"/>
        <v>0.96024173027989823</v>
      </c>
      <c r="J28" s="120">
        <v>6145300</v>
      </c>
      <c r="K28" s="118">
        <v>6906730</v>
      </c>
      <c r="L28" s="114">
        <f t="shared" si="2"/>
        <v>1.1239044473011894</v>
      </c>
    </row>
    <row r="29" spans="1:12" ht="13.5" customHeight="1" x14ac:dyDescent="0.2">
      <c r="A29" s="115"/>
      <c r="B29" s="116"/>
      <c r="C29" s="116"/>
      <c r="D29" s="117"/>
      <c r="E29" s="118"/>
      <c r="F29" s="119"/>
      <c r="G29" s="120"/>
      <c r="H29" s="118"/>
      <c r="I29" s="119"/>
      <c r="J29" s="120"/>
      <c r="K29" s="118"/>
      <c r="L29" s="119"/>
    </row>
    <row r="30" spans="1:12" ht="13.5" customHeight="1" x14ac:dyDescent="0.2">
      <c r="A30" s="503" t="s">
        <v>119</v>
      </c>
      <c r="B30" s="504"/>
      <c r="C30" s="505"/>
      <c r="D30" s="121">
        <f>SUM(D4:D28)-D27-D28</f>
        <v>136044</v>
      </c>
      <c r="E30" s="113">
        <f>SUM(E4:E28)-E27-E28</f>
        <v>130686</v>
      </c>
      <c r="F30" s="114">
        <f>E30/D30</f>
        <v>0.96061568316133017</v>
      </c>
      <c r="G30" s="121">
        <f>SUM(G4:G28)-G27-G28</f>
        <v>761619</v>
      </c>
      <c r="H30" s="113">
        <f>SUM(H4:H28)-H27-H28</f>
        <v>717196</v>
      </c>
      <c r="I30" s="114">
        <f>H30/G30</f>
        <v>0.94167293620563564</v>
      </c>
      <c r="J30" s="121">
        <f>SUM(J4:J28)-J27-J28</f>
        <v>158834211</v>
      </c>
      <c r="K30" s="113">
        <f>SUM(K4:K28)-K27-K28</f>
        <v>152665974</v>
      </c>
      <c r="L30" s="114">
        <f>K30/J30</f>
        <v>0.96116556401064002</v>
      </c>
    </row>
    <row r="31" spans="1:12" ht="13.5" customHeight="1" thickBot="1" x14ac:dyDescent="0.25">
      <c r="A31" s="122"/>
      <c r="B31" s="123"/>
      <c r="C31" s="123"/>
      <c r="D31" s="124"/>
      <c r="E31" s="125"/>
      <c r="F31" s="126"/>
      <c r="G31" s="127"/>
      <c r="H31" s="125"/>
      <c r="I31" s="126"/>
      <c r="J31" s="127"/>
      <c r="K31" s="125"/>
      <c r="L31" s="126"/>
    </row>
    <row r="32" spans="1:12" ht="13.5" customHeight="1" thickBot="1" x14ac:dyDescent="0.25">
      <c r="A32" s="128" t="s">
        <v>120</v>
      </c>
      <c r="B32" s="129"/>
      <c r="C32" s="129"/>
      <c r="D32" s="130"/>
      <c r="E32" s="131"/>
      <c r="F32" s="132"/>
      <c r="G32" s="130"/>
      <c r="H32" s="131"/>
      <c r="I32" s="132"/>
      <c r="J32" s="130"/>
      <c r="K32" s="131"/>
      <c r="L32" s="132"/>
    </row>
    <row r="33" spans="1:12" ht="13.5" customHeight="1" thickBot="1" x14ac:dyDescent="0.25">
      <c r="A33" s="133" t="s">
        <v>121</v>
      </c>
      <c r="B33" s="134"/>
      <c r="C33" s="134"/>
      <c r="D33" s="130">
        <f>D27+D28</f>
        <v>6432</v>
      </c>
      <c r="E33" s="131">
        <f>E27+E28</f>
        <v>6529</v>
      </c>
      <c r="F33" s="132">
        <f>E33/D33</f>
        <v>1.0150808457711442</v>
      </c>
      <c r="G33" s="130">
        <f>G27+G28</f>
        <v>16806</v>
      </c>
      <c r="H33" s="131">
        <f>H27+H28</f>
        <v>16212</v>
      </c>
      <c r="I33" s="132">
        <f>H33/G33</f>
        <v>0.96465548018564795</v>
      </c>
      <c r="J33" s="130">
        <f>J27+J28</f>
        <v>6454310</v>
      </c>
      <c r="K33" s="131">
        <f>K27+K28</f>
        <v>7191255</v>
      </c>
      <c r="L33" s="132">
        <f>K33/J33</f>
        <v>1.1141787425766658</v>
      </c>
    </row>
    <row r="34" spans="1:12" ht="13.5" customHeight="1" x14ac:dyDescent="0.2">
      <c r="A34" s="506"/>
      <c r="B34" s="507"/>
      <c r="C34" s="508"/>
      <c r="D34" s="135"/>
      <c r="E34" s="136"/>
      <c r="F34" s="137"/>
      <c r="G34" s="135"/>
      <c r="H34" s="136"/>
      <c r="I34" s="137"/>
      <c r="J34" s="135"/>
      <c r="K34" s="136"/>
      <c r="L34" s="137"/>
    </row>
    <row r="35" spans="1:12" ht="13.5" customHeight="1" thickBot="1" x14ac:dyDescent="0.25">
      <c r="A35" s="500" t="s">
        <v>123</v>
      </c>
      <c r="B35" s="501"/>
      <c r="C35" s="502"/>
      <c r="D35" s="138">
        <f>SUM(D30:D33)</f>
        <v>142476</v>
      </c>
      <c r="E35" s="139">
        <f>SUM(E30:E33)</f>
        <v>137215</v>
      </c>
      <c r="F35" s="140">
        <f>E35/D35</f>
        <v>0.96307448271989671</v>
      </c>
      <c r="G35" s="139">
        <f>SUM(G30:G33)</f>
        <v>778425</v>
      </c>
      <c r="H35" s="139">
        <f>SUM(H30:H33)</f>
        <v>733408</v>
      </c>
      <c r="I35" s="140">
        <f>H35/G35</f>
        <v>0.94216912355075955</v>
      </c>
      <c r="J35" s="139">
        <f>SUM(J30:J33)</f>
        <v>165288521</v>
      </c>
      <c r="K35" s="139">
        <f>SUM(K30:K33)</f>
        <v>159857229</v>
      </c>
      <c r="L35" s="140">
        <f>K35/J35</f>
        <v>0.96714053724275262</v>
      </c>
    </row>
    <row r="37" spans="1:12" ht="13.5" customHeight="1" x14ac:dyDescent="0.2">
      <c r="A37" s="107" t="s">
        <v>215</v>
      </c>
    </row>
    <row r="38" spans="1:12" ht="13.5" customHeight="1" x14ac:dyDescent="0.2">
      <c r="A38" s="107" t="s">
        <v>216</v>
      </c>
    </row>
  </sheetData>
  <mergeCells count="35">
    <mergeCell ref="A1:C3"/>
    <mergeCell ref="D1:F1"/>
    <mergeCell ref="G1:I1"/>
    <mergeCell ref="J1:L1"/>
    <mergeCell ref="D2:F2"/>
    <mergeCell ref="G2:I2"/>
    <mergeCell ref="J2:L2"/>
    <mergeCell ref="A15:C15"/>
    <mergeCell ref="A4:C4"/>
    <mergeCell ref="A5:C5"/>
    <mergeCell ref="A6:C6"/>
    <mergeCell ref="A7:C7"/>
    <mergeCell ref="A8:C8"/>
    <mergeCell ref="A9:C9"/>
    <mergeCell ref="A10:C10"/>
    <mergeCell ref="A11:C11"/>
    <mergeCell ref="A12:C12"/>
    <mergeCell ref="A13:C13"/>
    <mergeCell ref="A14:C14"/>
    <mergeCell ref="A25:C2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35:C35"/>
    <mergeCell ref="A26:C26"/>
    <mergeCell ref="A27:C27"/>
    <mergeCell ref="A28:C28"/>
    <mergeCell ref="A30:C30"/>
    <mergeCell ref="A34:C34"/>
  </mergeCells>
  <conditionalFormatting sqref="A25:C65535 A1:A24 B1:C23 D1:IV65535">
    <cfRule type="cellIs" dxfId="36" priority="11" stopIfTrue="1" operator="equal">
      <formula>0</formula>
    </cfRule>
  </conditionalFormatting>
  <conditionalFormatting sqref="D30:E30">
    <cfRule type="cellIs" dxfId="35" priority="7" stopIfTrue="1" operator="equal">
      <formula>0</formula>
    </cfRule>
  </conditionalFormatting>
  <conditionalFormatting sqref="G30:H30">
    <cfRule type="cellIs" dxfId="34" priority="6" stopIfTrue="1" operator="equal">
      <formula>0</formula>
    </cfRule>
  </conditionalFormatting>
  <conditionalFormatting sqref="J30:K30">
    <cfRule type="cellIs" dxfId="33" priority="5" stopIfTrue="1" operator="equal">
      <formula>0</formula>
    </cfRule>
  </conditionalFormatting>
  <conditionalFormatting sqref="D30:E30">
    <cfRule type="cellIs" dxfId="32" priority="3" stopIfTrue="1" operator="equal">
      <formula>0</formula>
    </cfRule>
  </conditionalFormatting>
  <conditionalFormatting sqref="G30:H30">
    <cfRule type="cellIs" dxfId="31" priority="2" stopIfTrue="1" operator="equal">
      <formula>0</formula>
    </cfRule>
  </conditionalFormatting>
  <conditionalFormatting sqref="J30:K30">
    <cfRule type="cellIs" dxfId="30" priority="1" stopIfTrue="1" operator="equal">
      <formula>0</formula>
    </cfRule>
  </conditionalFormatting>
  <printOptions horizontalCentered="1" verticalCentered="1"/>
  <pageMargins left="0.70866141732283472" right="0.74803149606299213" top="0.98425196850393704" bottom="0.39370078740157483" header="0.31496062992125984" footer="0.19685039370078741"/>
  <pageSetup paperSize="9" scale="95" orientation="landscape" horizontalDpi="4294967294" r:id="rId1"/>
  <headerFooter alignWithMargins="0">
    <oddHeader>&amp;CA szervezeti egységek Teljesítmény mutatóinak összehasonlító táblája2013/2014. évben (Visegrádi utcai szakrendelő)&amp;R1/b. sz. melléklet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4"/>
  <sheetViews>
    <sheetView topLeftCell="D1" zoomScaleNormal="100" workbookViewId="0">
      <selection activeCell="K8" sqref="K8"/>
    </sheetView>
  </sheetViews>
  <sheetFormatPr defaultRowHeight="13.5" customHeight="1" x14ac:dyDescent="0.2"/>
  <cols>
    <col min="1" max="1" width="23.7109375" style="147" customWidth="1"/>
    <col min="2" max="3" width="13.7109375" style="147" customWidth="1"/>
    <col min="4" max="4" width="9.7109375" style="147" customWidth="1"/>
    <col min="5" max="6" width="13.7109375" style="147" customWidth="1"/>
    <col min="7" max="7" width="9.7109375" style="147" customWidth="1"/>
    <col min="8" max="9" width="13.7109375" style="147" customWidth="1"/>
    <col min="10" max="10" width="9.7109375" style="147" customWidth="1"/>
    <col min="11" max="11" width="9.140625" style="147" customWidth="1"/>
    <col min="12" max="12" width="0.140625" style="234" customWidth="1"/>
    <col min="13" max="15" width="10.7109375" style="234" hidden="1" customWidth="1"/>
    <col min="16" max="16" width="11.85546875" style="234" hidden="1" customWidth="1"/>
    <col min="17" max="17" width="10.7109375" style="234" hidden="1" customWidth="1"/>
    <col min="18" max="20" width="9.140625" style="230"/>
    <col min="21" max="256" width="9.140625" style="147"/>
    <col min="257" max="257" width="21.42578125" style="147" customWidth="1"/>
    <col min="258" max="259" width="13.7109375" style="147" customWidth="1"/>
    <col min="260" max="260" width="9.7109375" style="147" customWidth="1"/>
    <col min="261" max="262" width="13.7109375" style="147" customWidth="1"/>
    <col min="263" max="263" width="9.7109375" style="147" customWidth="1"/>
    <col min="264" max="265" width="13.7109375" style="147" customWidth="1"/>
    <col min="266" max="266" width="9.7109375" style="147" customWidth="1"/>
    <col min="267" max="512" width="9.140625" style="147"/>
    <col min="513" max="513" width="21.42578125" style="147" customWidth="1"/>
    <col min="514" max="515" width="13.7109375" style="147" customWidth="1"/>
    <col min="516" max="516" width="9.7109375" style="147" customWidth="1"/>
    <col min="517" max="518" width="13.7109375" style="147" customWidth="1"/>
    <col min="519" max="519" width="9.7109375" style="147" customWidth="1"/>
    <col min="520" max="521" width="13.7109375" style="147" customWidth="1"/>
    <col min="522" max="522" width="9.7109375" style="147" customWidth="1"/>
    <col min="523" max="768" width="9.140625" style="147"/>
    <col min="769" max="769" width="21.42578125" style="147" customWidth="1"/>
    <col min="770" max="771" width="13.7109375" style="147" customWidth="1"/>
    <col min="772" max="772" width="9.7109375" style="147" customWidth="1"/>
    <col min="773" max="774" width="13.7109375" style="147" customWidth="1"/>
    <col min="775" max="775" width="9.7109375" style="147" customWidth="1"/>
    <col min="776" max="777" width="13.7109375" style="147" customWidth="1"/>
    <col min="778" max="778" width="9.7109375" style="147" customWidth="1"/>
    <col min="779" max="1024" width="9.140625" style="147"/>
    <col min="1025" max="1025" width="21.42578125" style="147" customWidth="1"/>
    <col min="1026" max="1027" width="13.7109375" style="147" customWidth="1"/>
    <col min="1028" max="1028" width="9.7109375" style="147" customWidth="1"/>
    <col min="1029" max="1030" width="13.7109375" style="147" customWidth="1"/>
    <col min="1031" max="1031" width="9.7109375" style="147" customWidth="1"/>
    <col min="1032" max="1033" width="13.7109375" style="147" customWidth="1"/>
    <col min="1034" max="1034" width="9.7109375" style="147" customWidth="1"/>
    <col min="1035" max="1280" width="9.140625" style="147"/>
    <col min="1281" max="1281" width="21.42578125" style="147" customWidth="1"/>
    <col min="1282" max="1283" width="13.7109375" style="147" customWidth="1"/>
    <col min="1284" max="1284" width="9.7109375" style="147" customWidth="1"/>
    <col min="1285" max="1286" width="13.7109375" style="147" customWidth="1"/>
    <col min="1287" max="1287" width="9.7109375" style="147" customWidth="1"/>
    <col min="1288" max="1289" width="13.7109375" style="147" customWidth="1"/>
    <col min="1290" max="1290" width="9.7109375" style="147" customWidth="1"/>
    <col min="1291" max="1536" width="9.140625" style="147"/>
    <col min="1537" max="1537" width="21.42578125" style="147" customWidth="1"/>
    <col min="1538" max="1539" width="13.7109375" style="147" customWidth="1"/>
    <col min="1540" max="1540" width="9.7109375" style="147" customWidth="1"/>
    <col min="1541" max="1542" width="13.7109375" style="147" customWidth="1"/>
    <col min="1543" max="1543" width="9.7109375" style="147" customWidth="1"/>
    <col min="1544" max="1545" width="13.7109375" style="147" customWidth="1"/>
    <col min="1546" max="1546" width="9.7109375" style="147" customWidth="1"/>
    <col min="1547" max="1792" width="9.140625" style="147"/>
    <col min="1793" max="1793" width="21.42578125" style="147" customWidth="1"/>
    <col min="1794" max="1795" width="13.7109375" style="147" customWidth="1"/>
    <col min="1796" max="1796" width="9.7109375" style="147" customWidth="1"/>
    <col min="1797" max="1798" width="13.7109375" style="147" customWidth="1"/>
    <col min="1799" max="1799" width="9.7109375" style="147" customWidth="1"/>
    <col min="1800" max="1801" width="13.7109375" style="147" customWidth="1"/>
    <col min="1802" max="1802" width="9.7109375" style="147" customWidth="1"/>
    <col min="1803" max="2048" width="9.140625" style="147"/>
    <col min="2049" max="2049" width="21.42578125" style="147" customWidth="1"/>
    <col min="2050" max="2051" width="13.7109375" style="147" customWidth="1"/>
    <col min="2052" max="2052" width="9.7109375" style="147" customWidth="1"/>
    <col min="2053" max="2054" width="13.7109375" style="147" customWidth="1"/>
    <col min="2055" max="2055" width="9.7109375" style="147" customWidth="1"/>
    <col min="2056" max="2057" width="13.7109375" style="147" customWidth="1"/>
    <col min="2058" max="2058" width="9.7109375" style="147" customWidth="1"/>
    <col min="2059" max="2304" width="9.140625" style="147"/>
    <col min="2305" max="2305" width="21.42578125" style="147" customWidth="1"/>
    <col min="2306" max="2307" width="13.7109375" style="147" customWidth="1"/>
    <col min="2308" max="2308" width="9.7109375" style="147" customWidth="1"/>
    <col min="2309" max="2310" width="13.7109375" style="147" customWidth="1"/>
    <col min="2311" max="2311" width="9.7109375" style="147" customWidth="1"/>
    <col min="2312" max="2313" width="13.7109375" style="147" customWidth="1"/>
    <col min="2314" max="2314" width="9.7109375" style="147" customWidth="1"/>
    <col min="2315" max="2560" width="9.140625" style="147"/>
    <col min="2561" max="2561" width="21.42578125" style="147" customWidth="1"/>
    <col min="2562" max="2563" width="13.7109375" style="147" customWidth="1"/>
    <col min="2564" max="2564" width="9.7109375" style="147" customWidth="1"/>
    <col min="2565" max="2566" width="13.7109375" style="147" customWidth="1"/>
    <col min="2567" max="2567" width="9.7109375" style="147" customWidth="1"/>
    <col min="2568" max="2569" width="13.7109375" style="147" customWidth="1"/>
    <col min="2570" max="2570" width="9.7109375" style="147" customWidth="1"/>
    <col min="2571" max="2816" width="9.140625" style="147"/>
    <col min="2817" max="2817" width="21.42578125" style="147" customWidth="1"/>
    <col min="2818" max="2819" width="13.7109375" style="147" customWidth="1"/>
    <col min="2820" max="2820" width="9.7109375" style="147" customWidth="1"/>
    <col min="2821" max="2822" width="13.7109375" style="147" customWidth="1"/>
    <col min="2823" max="2823" width="9.7109375" style="147" customWidth="1"/>
    <col min="2824" max="2825" width="13.7109375" style="147" customWidth="1"/>
    <col min="2826" max="2826" width="9.7109375" style="147" customWidth="1"/>
    <col min="2827" max="3072" width="9.140625" style="147"/>
    <col min="3073" max="3073" width="21.42578125" style="147" customWidth="1"/>
    <col min="3074" max="3075" width="13.7109375" style="147" customWidth="1"/>
    <col min="3076" max="3076" width="9.7109375" style="147" customWidth="1"/>
    <col min="3077" max="3078" width="13.7109375" style="147" customWidth="1"/>
    <col min="3079" max="3079" width="9.7109375" style="147" customWidth="1"/>
    <col min="3080" max="3081" width="13.7109375" style="147" customWidth="1"/>
    <col min="3082" max="3082" width="9.7109375" style="147" customWidth="1"/>
    <col min="3083" max="3328" width="9.140625" style="147"/>
    <col min="3329" max="3329" width="21.42578125" style="147" customWidth="1"/>
    <col min="3330" max="3331" width="13.7109375" style="147" customWidth="1"/>
    <col min="3332" max="3332" width="9.7109375" style="147" customWidth="1"/>
    <col min="3333" max="3334" width="13.7109375" style="147" customWidth="1"/>
    <col min="3335" max="3335" width="9.7109375" style="147" customWidth="1"/>
    <col min="3336" max="3337" width="13.7109375" style="147" customWidth="1"/>
    <col min="3338" max="3338" width="9.7109375" style="147" customWidth="1"/>
    <col min="3339" max="3584" width="9.140625" style="147"/>
    <col min="3585" max="3585" width="21.42578125" style="147" customWidth="1"/>
    <col min="3586" max="3587" width="13.7109375" style="147" customWidth="1"/>
    <col min="3588" max="3588" width="9.7109375" style="147" customWidth="1"/>
    <col min="3589" max="3590" width="13.7109375" style="147" customWidth="1"/>
    <col min="3591" max="3591" width="9.7109375" style="147" customWidth="1"/>
    <col min="3592" max="3593" width="13.7109375" style="147" customWidth="1"/>
    <col min="3594" max="3594" width="9.7109375" style="147" customWidth="1"/>
    <col min="3595" max="3840" width="9.140625" style="147"/>
    <col min="3841" max="3841" width="21.42578125" style="147" customWidth="1"/>
    <col min="3842" max="3843" width="13.7109375" style="147" customWidth="1"/>
    <col min="3844" max="3844" width="9.7109375" style="147" customWidth="1"/>
    <col min="3845" max="3846" width="13.7109375" style="147" customWidth="1"/>
    <col min="3847" max="3847" width="9.7109375" style="147" customWidth="1"/>
    <col min="3848" max="3849" width="13.7109375" style="147" customWidth="1"/>
    <col min="3850" max="3850" width="9.7109375" style="147" customWidth="1"/>
    <col min="3851" max="4096" width="9.140625" style="147"/>
    <col min="4097" max="4097" width="21.42578125" style="147" customWidth="1"/>
    <col min="4098" max="4099" width="13.7109375" style="147" customWidth="1"/>
    <col min="4100" max="4100" width="9.7109375" style="147" customWidth="1"/>
    <col min="4101" max="4102" width="13.7109375" style="147" customWidth="1"/>
    <col min="4103" max="4103" width="9.7109375" style="147" customWidth="1"/>
    <col min="4104" max="4105" width="13.7109375" style="147" customWidth="1"/>
    <col min="4106" max="4106" width="9.7109375" style="147" customWidth="1"/>
    <col min="4107" max="4352" width="9.140625" style="147"/>
    <col min="4353" max="4353" width="21.42578125" style="147" customWidth="1"/>
    <col min="4354" max="4355" width="13.7109375" style="147" customWidth="1"/>
    <col min="4356" max="4356" width="9.7109375" style="147" customWidth="1"/>
    <col min="4357" max="4358" width="13.7109375" style="147" customWidth="1"/>
    <col min="4359" max="4359" width="9.7109375" style="147" customWidth="1"/>
    <col min="4360" max="4361" width="13.7109375" style="147" customWidth="1"/>
    <col min="4362" max="4362" width="9.7109375" style="147" customWidth="1"/>
    <col min="4363" max="4608" width="9.140625" style="147"/>
    <col min="4609" max="4609" width="21.42578125" style="147" customWidth="1"/>
    <col min="4610" max="4611" width="13.7109375" style="147" customWidth="1"/>
    <col min="4612" max="4612" width="9.7109375" style="147" customWidth="1"/>
    <col min="4613" max="4614" width="13.7109375" style="147" customWidth="1"/>
    <col min="4615" max="4615" width="9.7109375" style="147" customWidth="1"/>
    <col min="4616" max="4617" width="13.7109375" style="147" customWidth="1"/>
    <col min="4618" max="4618" width="9.7109375" style="147" customWidth="1"/>
    <col min="4619" max="4864" width="9.140625" style="147"/>
    <col min="4865" max="4865" width="21.42578125" style="147" customWidth="1"/>
    <col min="4866" max="4867" width="13.7109375" style="147" customWidth="1"/>
    <col min="4868" max="4868" width="9.7109375" style="147" customWidth="1"/>
    <col min="4869" max="4870" width="13.7109375" style="147" customWidth="1"/>
    <col min="4871" max="4871" width="9.7109375" style="147" customWidth="1"/>
    <col min="4872" max="4873" width="13.7109375" style="147" customWidth="1"/>
    <col min="4874" max="4874" width="9.7109375" style="147" customWidth="1"/>
    <col min="4875" max="5120" width="9.140625" style="147"/>
    <col min="5121" max="5121" width="21.42578125" style="147" customWidth="1"/>
    <col min="5122" max="5123" width="13.7109375" style="147" customWidth="1"/>
    <col min="5124" max="5124" width="9.7109375" style="147" customWidth="1"/>
    <col min="5125" max="5126" width="13.7109375" style="147" customWidth="1"/>
    <col min="5127" max="5127" width="9.7109375" style="147" customWidth="1"/>
    <col min="5128" max="5129" width="13.7109375" style="147" customWidth="1"/>
    <col min="5130" max="5130" width="9.7109375" style="147" customWidth="1"/>
    <col min="5131" max="5376" width="9.140625" style="147"/>
    <col min="5377" max="5377" width="21.42578125" style="147" customWidth="1"/>
    <col min="5378" max="5379" width="13.7109375" style="147" customWidth="1"/>
    <col min="5380" max="5380" width="9.7109375" style="147" customWidth="1"/>
    <col min="5381" max="5382" width="13.7109375" style="147" customWidth="1"/>
    <col min="5383" max="5383" width="9.7109375" style="147" customWidth="1"/>
    <col min="5384" max="5385" width="13.7109375" style="147" customWidth="1"/>
    <col min="5386" max="5386" width="9.7109375" style="147" customWidth="1"/>
    <col min="5387" max="5632" width="9.140625" style="147"/>
    <col min="5633" max="5633" width="21.42578125" style="147" customWidth="1"/>
    <col min="5634" max="5635" width="13.7109375" style="147" customWidth="1"/>
    <col min="5636" max="5636" width="9.7109375" style="147" customWidth="1"/>
    <col min="5637" max="5638" width="13.7109375" style="147" customWidth="1"/>
    <col min="5639" max="5639" width="9.7109375" style="147" customWidth="1"/>
    <col min="5640" max="5641" width="13.7109375" style="147" customWidth="1"/>
    <col min="5642" max="5642" width="9.7109375" style="147" customWidth="1"/>
    <col min="5643" max="5888" width="9.140625" style="147"/>
    <col min="5889" max="5889" width="21.42578125" style="147" customWidth="1"/>
    <col min="5890" max="5891" width="13.7109375" style="147" customWidth="1"/>
    <col min="5892" max="5892" width="9.7109375" style="147" customWidth="1"/>
    <col min="5893" max="5894" width="13.7109375" style="147" customWidth="1"/>
    <col min="5895" max="5895" width="9.7109375" style="147" customWidth="1"/>
    <col min="5896" max="5897" width="13.7109375" style="147" customWidth="1"/>
    <col min="5898" max="5898" width="9.7109375" style="147" customWidth="1"/>
    <col min="5899" max="6144" width="9.140625" style="147"/>
    <col min="6145" max="6145" width="21.42578125" style="147" customWidth="1"/>
    <col min="6146" max="6147" width="13.7109375" style="147" customWidth="1"/>
    <col min="6148" max="6148" width="9.7109375" style="147" customWidth="1"/>
    <col min="6149" max="6150" width="13.7109375" style="147" customWidth="1"/>
    <col min="6151" max="6151" width="9.7109375" style="147" customWidth="1"/>
    <col min="6152" max="6153" width="13.7109375" style="147" customWidth="1"/>
    <col min="6154" max="6154" width="9.7109375" style="147" customWidth="1"/>
    <col min="6155" max="6400" width="9.140625" style="147"/>
    <col min="6401" max="6401" width="21.42578125" style="147" customWidth="1"/>
    <col min="6402" max="6403" width="13.7109375" style="147" customWidth="1"/>
    <col min="6404" max="6404" width="9.7109375" style="147" customWidth="1"/>
    <col min="6405" max="6406" width="13.7109375" style="147" customWidth="1"/>
    <col min="6407" max="6407" width="9.7109375" style="147" customWidth="1"/>
    <col min="6408" max="6409" width="13.7109375" style="147" customWidth="1"/>
    <col min="6410" max="6410" width="9.7109375" style="147" customWidth="1"/>
    <col min="6411" max="6656" width="9.140625" style="147"/>
    <col min="6657" max="6657" width="21.42578125" style="147" customWidth="1"/>
    <col min="6658" max="6659" width="13.7109375" style="147" customWidth="1"/>
    <col min="6660" max="6660" width="9.7109375" style="147" customWidth="1"/>
    <col min="6661" max="6662" width="13.7109375" style="147" customWidth="1"/>
    <col min="6663" max="6663" width="9.7109375" style="147" customWidth="1"/>
    <col min="6664" max="6665" width="13.7109375" style="147" customWidth="1"/>
    <col min="6666" max="6666" width="9.7109375" style="147" customWidth="1"/>
    <col min="6667" max="6912" width="9.140625" style="147"/>
    <col min="6913" max="6913" width="21.42578125" style="147" customWidth="1"/>
    <col min="6914" max="6915" width="13.7109375" style="147" customWidth="1"/>
    <col min="6916" max="6916" width="9.7109375" style="147" customWidth="1"/>
    <col min="6917" max="6918" width="13.7109375" style="147" customWidth="1"/>
    <col min="6919" max="6919" width="9.7109375" style="147" customWidth="1"/>
    <col min="6920" max="6921" width="13.7109375" style="147" customWidth="1"/>
    <col min="6922" max="6922" width="9.7109375" style="147" customWidth="1"/>
    <col min="6923" max="7168" width="9.140625" style="147"/>
    <col min="7169" max="7169" width="21.42578125" style="147" customWidth="1"/>
    <col min="7170" max="7171" width="13.7109375" style="147" customWidth="1"/>
    <col min="7172" max="7172" width="9.7109375" style="147" customWidth="1"/>
    <col min="7173" max="7174" width="13.7109375" style="147" customWidth="1"/>
    <col min="7175" max="7175" width="9.7109375" style="147" customWidth="1"/>
    <col min="7176" max="7177" width="13.7109375" style="147" customWidth="1"/>
    <col min="7178" max="7178" width="9.7109375" style="147" customWidth="1"/>
    <col min="7179" max="7424" width="9.140625" style="147"/>
    <col min="7425" max="7425" width="21.42578125" style="147" customWidth="1"/>
    <col min="7426" max="7427" width="13.7109375" style="147" customWidth="1"/>
    <col min="7428" max="7428" width="9.7109375" style="147" customWidth="1"/>
    <col min="7429" max="7430" width="13.7109375" style="147" customWidth="1"/>
    <col min="7431" max="7431" width="9.7109375" style="147" customWidth="1"/>
    <col min="7432" max="7433" width="13.7109375" style="147" customWidth="1"/>
    <col min="7434" max="7434" width="9.7109375" style="147" customWidth="1"/>
    <col min="7435" max="7680" width="9.140625" style="147"/>
    <col min="7681" max="7681" width="21.42578125" style="147" customWidth="1"/>
    <col min="7682" max="7683" width="13.7109375" style="147" customWidth="1"/>
    <col min="7684" max="7684" width="9.7109375" style="147" customWidth="1"/>
    <col min="7685" max="7686" width="13.7109375" style="147" customWidth="1"/>
    <col min="7687" max="7687" width="9.7109375" style="147" customWidth="1"/>
    <col min="7688" max="7689" width="13.7109375" style="147" customWidth="1"/>
    <col min="7690" max="7690" width="9.7109375" style="147" customWidth="1"/>
    <col min="7691" max="7936" width="9.140625" style="147"/>
    <col min="7937" max="7937" width="21.42578125" style="147" customWidth="1"/>
    <col min="7938" max="7939" width="13.7109375" style="147" customWidth="1"/>
    <col min="7940" max="7940" width="9.7109375" style="147" customWidth="1"/>
    <col min="7941" max="7942" width="13.7109375" style="147" customWidth="1"/>
    <col min="7943" max="7943" width="9.7109375" style="147" customWidth="1"/>
    <col min="7944" max="7945" width="13.7109375" style="147" customWidth="1"/>
    <col min="7946" max="7946" width="9.7109375" style="147" customWidth="1"/>
    <col min="7947" max="8192" width="9.140625" style="147"/>
    <col min="8193" max="8193" width="21.42578125" style="147" customWidth="1"/>
    <col min="8194" max="8195" width="13.7109375" style="147" customWidth="1"/>
    <col min="8196" max="8196" width="9.7109375" style="147" customWidth="1"/>
    <col min="8197" max="8198" width="13.7109375" style="147" customWidth="1"/>
    <col min="8199" max="8199" width="9.7109375" style="147" customWidth="1"/>
    <col min="8200" max="8201" width="13.7109375" style="147" customWidth="1"/>
    <col min="8202" max="8202" width="9.7109375" style="147" customWidth="1"/>
    <col min="8203" max="8448" width="9.140625" style="147"/>
    <col min="8449" max="8449" width="21.42578125" style="147" customWidth="1"/>
    <col min="8450" max="8451" width="13.7109375" style="147" customWidth="1"/>
    <col min="8452" max="8452" width="9.7109375" style="147" customWidth="1"/>
    <col min="8453" max="8454" width="13.7109375" style="147" customWidth="1"/>
    <col min="8455" max="8455" width="9.7109375" style="147" customWidth="1"/>
    <col min="8456" max="8457" width="13.7109375" style="147" customWidth="1"/>
    <col min="8458" max="8458" width="9.7109375" style="147" customWidth="1"/>
    <col min="8459" max="8704" width="9.140625" style="147"/>
    <col min="8705" max="8705" width="21.42578125" style="147" customWidth="1"/>
    <col min="8706" max="8707" width="13.7109375" style="147" customWidth="1"/>
    <col min="8708" max="8708" width="9.7109375" style="147" customWidth="1"/>
    <col min="8709" max="8710" width="13.7109375" style="147" customWidth="1"/>
    <col min="8711" max="8711" width="9.7109375" style="147" customWidth="1"/>
    <col min="8712" max="8713" width="13.7109375" style="147" customWidth="1"/>
    <col min="8714" max="8714" width="9.7109375" style="147" customWidth="1"/>
    <col min="8715" max="8960" width="9.140625" style="147"/>
    <col min="8961" max="8961" width="21.42578125" style="147" customWidth="1"/>
    <col min="8962" max="8963" width="13.7109375" style="147" customWidth="1"/>
    <col min="8964" max="8964" width="9.7109375" style="147" customWidth="1"/>
    <col min="8965" max="8966" width="13.7109375" style="147" customWidth="1"/>
    <col min="8967" max="8967" width="9.7109375" style="147" customWidth="1"/>
    <col min="8968" max="8969" width="13.7109375" style="147" customWidth="1"/>
    <col min="8970" max="8970" width="9.7109375" style="147" customWidth="1"/>
    <col min="8971" max="9216" width="9.140625" style="147"/>
    <col min="9217" max="9217" width="21.42578125" style="147" customWidth="1"/>
    <col min="9218" max="9219" width="13.7109375" style="147" customWidth="1"/>
    <col min="9220" max="9220" width="9.7109375" style="147" customWidth="1"/>
    <col min="9221" max="9222" width="13.7109375" style="147" customWidth="1"/>
    <col min="9223" max="9223" width="9.7109375" style="147" customWidth="1"/>
    <col min="9224" max="9225" width="13.7109375" style="147" customWidth="1"/>
    <col min="9226" max="9226" width="9.7109375" style="147" customWidth="1"/>
    <col min="9227" max="9472" width="9.140625" style="147"/>
    <col min="9473" max="9473" width="21.42578125" style="147" customWidth="1"/>
    <col min="9474" max="9475" width="13.7109375" style="147" customWidth="1"/>
    <col min="9476" max="9476" width="9.7109375" style="147" customWidth="1"/>
    <col min="9477" max="9478" width="13.7109375" style="147" customWidth="1"/>
    <col min="9479" max="9479" width="9.7109375" style="147" customWidth="1"/>
    <col min="9480" max="9481" width="13.7109375" style="147" customWidth="1"/>
    <col min="9482" max="9482" width="9.7109375" style="147" customWidth="1"/>
    <col min="9483" max="9728" width="9.140625" style="147"/>
    <col min="9729" max="9729" width="21.42578125" style="147" customWidth="1"/>
    <col min="9730" max="9731" width="13.7109375" style="147" customWidth="1"/>
    <col min="9732" max="9732" width="9.7109375" style="147" customWidth="1"/>
    <col min="9733" max="9734" width="13.7109375" style="147" customWidth="1"/>
    <col min="9735" max="9735" width="9.7109375" style="147" customWidth="1"/>
    <col min="9736" max="9737" width="13.7109375" style="147" customWidth="1"/>
    <col min="9738" max="9738" width="9.7109375" style="147" customWidth="1"/>
    <col min="9739" max="9984" width="9.140625" style="147"/>
    <col min="9985" max="9985" width="21.42578125" style="147" customWidth="1"/>
    <col min="9986" max="9987" width="13.7109375" style="147" customWidth="1"/>
    <col min="9988" max="9988" width="9.7109375" style="147" customWidth="1"/>
    <col min="9989" max="9990" width="13.7109375" style="147" customWidth="1"/>
    <col min="9991" max="9991" width="9.7109375" style="147" customWidth="1"/>
    <col min="9992" max="9993" width="13.7109375" style="147" customWidth="1"/>
    <col min="9994" max="9994" width="9.7109375" style="147" customWidth="1"/>
    <col min="9995" max="10240" width="9.140625" style="147"/>
    <col min="10241" max="10241" width="21.42578125" style="147" customWidth="1"/>
    <col min="10242" max="10243" width="13.7109375" style="147" customWidth="1"/>
    <col min="10244" max="10244" width="9.7109375" style="147" customWidth="1"/>
    <col min="10245" max="10246" width="13.7109375" style="147" customWidth="1"/>
    <col min="10247" max="10247" width="9.7109375" style="147" customWidth="1"/>
    <col min="10248" max="10249" width="13.7109375" style="147" customWidth="1"/>
    <col min="10250" max="10250" width="9.7109375" style="147" customWidth="1"/>
    <col min="10251" max="10496" width="9.140625" style="147"/>
    <col min="10497" max="10497" width="21.42578125" style="147" customWidth="1"/>
    <col min="10498" max="10499" width="13.7109375" style="147" customWidth="1"/>
    <col min="10500" max="10500" width="9.7109375" style="147" customWidth="1"/>
    <col min="10501" max="10502" width="13.7109375" style="147" customWidth="1"/>
    <col min="10503" max="10503" width="9.7109375" style="147" customWidth="1"/>
    <col min="10504" max="10505" width="13.7109375" style="147" customWidth="1"/>
    <col min="10506" max="10506" width="9.7109375" style="147" customWidth="1"/>
    <col min="10507" max="10752" width="9.140625" style="147"/>
    <col min="10753" max="10753" width="21.42578125" style="147" customWidth="1"/>
    <col min="10754" max="10755" width="13.7109375" style="147" customWidth="1"/>
    <col min="10756" max="10756" width="9.7109375" style="147" customWidth="1"/>
    <col min="10757" max="10758" width="13.7109375" style="147" customWidth="1"/>
    <col min="10759" max="10759" width="9.7109375" style="147" customWidth="1"/>
    <col min="10760" max="10761" width="13.7109375" style="147" customWidth="1"/>
    <col min="10762" max="10762" width="9.7109375" style="147" customWidth="1"/>
    <col min="10763" max="11008" width="9.140625" style="147"/>
    <col min="11009" max="11009" width="21.42578125" style="147" customWidth="1"/>
    <col min="11010" max="11011" width="13.7109375" style="147" customWidth="1"/>
    <col min="11012" max="11012" width="9.7109375" style="147" customWidth="1"/>
    <col min="11013" max="11014" width="13.7109375" style="147" customWidth="1"/>
    <col min="11015" max="11015" width="9.7109375" style="147" customWidth="1"/>
    <col min="11016" max="11017" width="13.7109375" style="147" customWidth="1"/>
    <col min="11018" max="11018" width="9.7109375" style="147" customWidth="1"/>
    <col min="11019" max="11264" width="9.140625" style="147"/>
    <col min="11265" max="11265" width="21.42578125" style="147" customWidth="1"/>
    <col min="11266" max="11267" width="13.7109375" style="147" customWidth="1"/>
    <col min="11268" max="11268" width="9.7109375" style="147" customWidth="1"/>
    <col min="11269" max="11270" width="13.7109375" style="147" customWidth="1"/>
    <col min="11271" max="11271" width="9.7109375" style="147" customWidth="1"/>
    <col min="11272" max="11273" width="13.7109375" style="147" customWidth="1"/>
    <col min="11274" max="11274" width="9.7109375" style="147" customWidth="1"/>
    <col min="11275" max="11520" width="9.140625" style="147"/>
    <col min="11521" max="11521" width="21.42578125" style="147" customWidth="1"/>
    <col min="11522" max="11523" width="13.7109375" style="147" customWidth="1"/>
    <col min="11524" max="11524" width="9.7109375" style="147" customWidth="1"/>
    <col min="11525" max="11526" width="13.7109375" style="147" customWidth="1"/>
    <col min="11527" max="11527" width="9.7109375" style="147" customWidth="1"/>
    <col min="11528" max="11529" width="13.7109375" style="147" customWidth="1"/>
    <col min="11530" max="11530" width="9.7109375" style="147" customWidth="1"/>
    <col min="11531" max="11776" width="9.140625" style="147"/>
    <col min="11777" max="11777" width="21.42578125" style="147" customWidth="1"/>
    <col min="11778" max="11779" width="13.7109375" style="147" customWidth="1"/>
    <col min="11780" max="11780" width="9.7109375" style="147" customWidth="1"/>
    <col min="11781" max="11782" width="13.7109375" style="147" customWidth="1"/>
    <col min="11783" max="11783" width="9.7109375" style="147" customWidth="1"/>
    <col min="11784" max="11785" width="13.7109375" style="147" customWidth="1"/>
    <col min="11786" max="11786" width="9.7109375" style="147" customWidth="1"/>
    <col min="11787" max="12032" width="9.140625" style="147"/>
    <col min="12033" max="12033" width="21.42578125" style="147" customWidth="1"/>
    <col min="12034" max="12035" width="13.7109375" style="147" customWidth="1"/>
    <col min="12036" max="12036" width="9.7109375" style="147" customWidth="1"/>
    <col min="12037" max="12038" width="13.7109375" style="147" customWidth="1"/>
    <col min="12039" max="12039" width="9.7109375" style="147" customWidth="1"/>
    <col min="12040" max="12041" width="13.7109375" style="147" customWidth="1"/>
    <col min="12042" max="12042" width="9.7109375" style="147" customWidth="1"/>
    <col min="12043" max="12288" width="9.140625" style="147"/>
    <col min="12289" max="12289" width="21.42578125" style="147" customWidth="1"/>
    <col min="12290" max="12291" width="13.7109375" style="147" customWidth="1"/>
    <col min="12292" max="12292" width="9.7109375" style="147" customWidth="1"/>
    <col min="12293" max="12294" width="13.7109375" style="147" customWidth="1"/>
    <col min="12295" max="12295" width="9.7109375" style="147" customWidth="1"/>
    <col min="12296" max="12297" width="13.7109375" style="147" customWidth="1"/>
    <col min="12298" max="12298" width="9.7109375" style="147" customWidth="1"/>
    <col min="12299" max="12544" width="9.140625" style="147"/>
    <col min="12545" max="12545" width="21.42578125" style="147" customWidth="1"/>
    <col min="12546" max="12547" width="13.7109375" style="147" customWidth="1"/>
    <col min="12548" max="12548" width="9.7109375" style="147" customWidth="1"/>
    <col min="12549" max="12550" width="13.7109375" style="147" customWidth="1"/>
    <col min="12551" max="12551" width="9.7109375" style="147" customWidth="1"/>
    <col min="12552" max="12553" width="13.7109375" style="147" customWidth="1"/>
    <col min="12554" max="12554" width="9.7109375" style="147" customWidth="1"/>
    <col min="12555" max="12800" width="9.140625" style="147"/>
    <col min="12801" max="12801" width="21.42578125" style="147" customWidth="1"/>
    <col min="12802" max="12803" width="13.7109375" style="147" customWidth="1"/>
    <col min="12804" max="12804" width="9.7109375" style="147" customWidth="1"/>
    <col min="12805" max="12806" width="13.7109375" style="147" customWidth="1"/>
    <col min="12807" max="12807" width="9.7109375" style="147" customWidth="1"/>
    <col min="12808" max="12809" width="13.7109375" style="147" customWidth="1"/>
    <col min="12810" max="12810" width="9.7109375" style="147" customWidth="1"/>
    <col min="12811" max="13056" width="9.140625" style="147"/>
    <col min="13057" max="13057" width="21.42578125" style="147" customWidth="1"/>
    <col min="13058" max="13059" width="13.7109375" style="147" customWidth="1"/>
    <col min="13060" max="13060" width="9.7109375" style="147" customWidth="1"/>
    <col min="13061" max="13062" width="13.7109375" style="147" customWidth="1"/>
    <col min="13063" max="13063" width="9.7109375" style="147" customWidth="1"/>
    <col min="13064" max="13065" width="13.7109375" style="147" customWidth="1"/>
    <col min="13066" max="13066" width="9.7109375" style="147" customWidth="1"/>
    <col min="13067" max="13312" width="9.140625" style="147"/>
    <col min="13313" max="13313" width="21.42578125" style="147" customWidth="1"/>
    <col min="13314" max="13315" width="13.7109375" style="147" customWidth="1"/>
    <col min="13316" max="13316" width="9.7109375" style="147" customWidth="1"/>
    <col min="13317" max="13318" width="13.7109375" style="147" customWidth="1"/>
    <col min="13319" max="13319" width="9.7109375" style="147" customWidth="1"/>
    <col min="13320" max="13321" width="13.7109375" style="147" customWidth="1"/>
    <col min="13322" max="13322" width="9.7109375" style="147" customWidth="1"/>
    <col min="13323" max="13568" width="9.140625" style="147"/>
    <col min="13569" max="13569" width="21.42578125" style="147" customWidth="1"/>
    <col min="13570" max="13571" width="13.7109375" style="147" customWidth="1"/>
    <col min="13572" max="13572" width="9.7109375" style="147" customWidth="1"/>
    <col min="13573" max="13574" width="13.7109375" style="147" customWidth="1"/>
    <col min="13575" max="13575" width="9.7109375" style="147" customWidth="1"/>
    <col min="13576" max="13577" width="13.7109375" style="147" customWidth="1"/>
    <col min="13578" max="13578" width="9.7109375" style="147" customWidth="1"/>
    <col min="13579" max="13824" width="9.140625" style="147"/>
    <col min="13825" max="13825" width="21.42578125" style="147" customWidth="1"/>
    <col min="13826" max="13827" width="13.7109375" style="147" customWidth="1"/>
    <col min="13828" max="13828" width="9.7109375" style="147" customWidth="1"/>
    <col min="13829" max="13830" width="13.7109375" style="147" customWidth="1"/>
    <col min="13831" max="13831" width="9.7109375" style="147" customWidth="1"/>
    <col min="13832" max="13833" width="13.7109375" style="147" customWidth="1"/>
    <col min="13834" max="13834" width="9.7109375" style="147" customWidth="1"/>
    <col min="13835" max="14080" width="9.140625" style="147"/>
    <col min="14081" max="14081" width="21.42578125" style="147" customWidth="1"/>
    <col min="14082" max="14083" width="13.7109375" style="147" customWidth="1"/>
    <col min="14084" max="14084" width="9.7109375" style="147" customWidth="1"/>
    <col min="14085" max="14086" width="13.7109375" style="147" customWidth="1"/>
    <col min="14087" max="14087" width="9.7109375" style="147" customWidth="1"/>
    <col min="14088" max="14089" width="13.7109375" style="147" customWidth="1"/>
    <col min="14090" max="14090" width="9.7109375" style="147" customWidth="1"/>
    <col min="14091" max="14336" width="9.140625" style="147"/>
    <col min="14337" max="14337" width="21.42578125" style="147" customWidth="1"/>
    <col min="14338" max="14339" width="13.7109375" style="147" customWidth="1"/>
    <col min="14340" max="14340" width="9.7109375" style="147" customWidth="1"/>
    <col min="14341" max="14342" width="13.7109375" style="147" customWidth="1"/>
    <col min="14343" max="14343" width="9.7109375" style="147" customWidth="1"/>
    <col min="14344" max="14345" width="13.7109375" style="147" customWidth="1"/>
    <col min="14346" max="14346" width="9.7109375" style="147" customWidth="1"/>
    <col min="14347" max="14592" width="9.140625" style="147"/>
    <col min="14593" max="14593" width="21.42578125" style="147" customWidth="1"/>
    <col min="14594" max="14595" width="13.7109375" style="147" customWidth="1"/>
    <col min="14596" max="14596" width="9.7109375" style="147" customWidth="1"/>
    <col min="14597" max="14598" width="13.7109375" style="147" customWidth="1"/>
    <col min="14599" max="14599" width="9.7109375" style="147" customWidth="1"/>
    <col min="14600" max="14601" width="13.7109375" style="147" customWidth="1"/>
    <col min="14602" max="14602" width="9.7109375" style="147" customWidth="1"/>
    <col min="14603" max="14848" width="9.140625" style="147"/>
    <col min="14849" max="14849" width="21.42578125" style="147" customWidth="1"/>
    <col min="14850" max="14851" width="13.7109375" style="147" customWidth="1"/>
    <col min="14852" max="14852" width="9.7109375" style="147" customWidth="1"/>
    <col min="14853" max="14854" width="13.7109375" style="147" customWidth="1"/>
    <col min="14855" max="14855" width="9.7109375" style="147" customWidth="1"/>
    <col min="14856" max="14857" width="13.7109375" style="147" customWidth="1"/>
    <col min="14858" max="14858" width="9.7109375" style="147" customWidth="1"/>
    <col min="14859" max="15104" width="9.140625" style="147"/>
    <col min="15105" max="15105" width="21.42578125" style="147" customWidth="1"/>
    <col min="15106" max="15107" width="13.7109375" style="147" customWidth="1"/>
    <col min="15108" max="15108" width="9.7109375" style="147" customWidth="1"/>
    <col min="15109" max="15110" width="13.7109375" style="147" customWidth="1"/>
    <col min="15111" max="15111" width="9.7109375" style="147" customWidth="1"/>
    <col min="15112" max="15113" width="13.7109375" style="147" customWidth="1"/>
    <col min="15114" max="15114" width="9.7109375" style="147" customWidth="1"/>
    <col min="15115" max="15360" width="9.140625" style="147"/>
    <col min="15361" max="15361" width="21.42578125" style="147" customWidth="1"/>
    <col min="15362" max="15363" width="13.7109375" style="147" customWidth="1"/>
    <col min="15364" max="15364" width="9.7109375" style="147" customWidth="1"/>
    <col min="15365" max="15366" width="13.7109375" style="147" customWidth="1"/>
    <col min="15367" max="15367" width="9.7109375" style="147" customWidth="1"/>
    <col min="15368" max="15369" width="13.7109375" style="147" customWidth="1"/>
    <col min="15370" max="15370" width="9.7109375" style="147" customWidth="1"/>
    <col min="15371" max="15616" width="9.140625" style="147"/>
    <col min="15617" max="15617" width="21.42578125" style="147" customWidth="1"/>
    <col min="15618" max="15619" width="13.7109375" style="147" customWidth="1"/>
    <col min="15620" max="15620" width="9.7109375" style="147" customWidth="1"/>
    <col min="15621" max="15622" width="13.7109375" style="147" customWidth="1"/>
    <col min="15623" max="15623" width="9.7109375" style="147" customWidth="1"/>
    <col min="15624" max="15625" width="13.7109375" style="147" customWidth="1"/>
    <col min="15626" max="15626" width="9.7109375" style="147" customWidth="1"/>
    <col min="15627" max="15872" width="9.140625" style="147"/>
    <col min="15873" max="15873" width="21.42578125" style="147" customWidth="1"/>
    <col min="15874" max="15875" width="13.7109375" style="147" customWidth="1"/>
    <col min="15876" max="15876" width="9.7109375" style="147" customWidth="1"/>
    <col min="15877" max="15878" width="13.7109375" style="147" customWidth="1"/>
    <col min="15879" max="15879" width="9.7109375" style="147" customWidth="1"/>
    <col min="15880" max="15881" width="13.7109375" style="147" customWidth="1"/>
    <col min="15882" max="15882" width="9.7109375" style="147" customWidth="1"/>
    <col min="15883" max="16128" width="9.140625" style="147"/>
    <col min="16129" max="16129" width="21.42578125" style="147" customWidth="1"/>
    <col min="16130" max="16131" width="13.7109375" style="147" customWidth="1"/>
    <col min="16132" max="16132" width="9.7109375" style="147" customWidth="1"/>
    <col min="16133" max="16134" width="13.7109375" style="147" customWidth="1"/>
    <col min="16135" max="16135" width="9.7109375" style="147" customWidth="1"/>
    <col min="16136" max="16137" width="13.7109375" style="147" customWidth="1"/>
    <col min="16138" max="16138" width="9.7109375" style="147" customWidth="1"/>
    <col min="16139" max="16384" width="9.140625" style="147"/>
  </cols>
  <sheetData>
    <row r="1" spans="1:17" ht="13.5" customHeight="1" x14ac:dyDescent="0.2">
      <c r="A1" s="530"/>
      <c r="B1" s="532" t="s">
        <v>124</v>
      </c>
      <c r="C1" s="533"/>
      <c r="D1" s="534"/>
      <c r="E1" s="532" t="s">
        <v>125</v>
      </c>
      <c r="F1" s="533"/>
      <c r="G1" s="534"/>
      <c r="H1" s="535" t="s">
        <v>126</v>
      </c>
      <c r="I1" s="535"/>
      <c r="J1" s="536"/>
      <c r="L1" s="529" t="s">
        <v>127</v>
      </c>
      <c r="M1" s="529"/>
      <c r="N1" s="529" t="s">
        <v>128</v>
      </c>
      <c r="O1" s="529"/>
      <c r="P1" s="529" t="s">
        <v>129</v>
      </c>
      <c r="Q1" s="529"/>
    </row>
    <row r="2" spans="1:17" ht="30" customHeight="1" thickBot="1" x14ac:dyDescent="0.25">
      <c r="A2" s="531"/>
      <c r="B2" s="148" t="s">
        <v>202</v>
      </c>
      <c r="C2" s="149" t="s">
        <v>224</v>
      </c>
      <c r="D2" s="150" t="s">
        <v>130</v>
      </c>
      <c r="E2" s="148" t="s">
        <v>202</v>
      </c>
      <c r="F2" s="149" t="s">
        <v>224</v>
      </c>
      <c r="G2" s="150" t="s">
        <v>130</v>
      </c>
      <c r="H2" s="148" t="s">
        <v>202</v>
      </c>
      <c r="I2" s="149" t="s">
        <v>224</v>
      </c>
      <c r="J2" s="150" t="s">
        <v>130</v>
      </c>
      <c r="L2" s="234" t="s">
        <v>131</v>
      </c>
      <c r="M2" s="234" t="s">
        <v>132</v>
      </c>
      <c r="N2" s="234" t="s">
        <v>131</v>
      </c>
      <c r="O2" s="234" t="s">
        <v>132</v>
      </c>
      <c r="P2" s="234" t="s">
        <v>131</v>
      </c>
      <c r="Q2" s="234" t="s">
        <v>132</v>
      </c>
    </row>
    <row r="3" spans="1:17" ht="13.5" customHeight="1" x14ac:dyDescent="0.2">
      <c r="A3" s="151" t="s">
        <v>102</v>
      </c>
      <c r="B3" s="152">
        <v>1040</v>
      </c>
      <c r="C3" s="153">
        <f>L3+M3</f>
        <v>996</v>
      </c>
      <c r="D3" s="154">
        <f t="shared" ref="D3:D22" si="0">C3/B3</f>
        <v>0.95769230769230773</v>
      </c>
      <c r="E3" s="153">
        <v>2080</v>
      </c>
      <c r="F3" s="153">
        <f>N3+O3</f>
        <v>1983</v>
      </c>
      <c r="G3" s="154">
        <f t="shared" ref="G3:G22" si="1">F3/E3</f>
        <v>0.95336538461538467</v>
      </c>
      <c r="H3" s="155">
        <v>1385280</v>
      </c>
      <c r="I3" s="153">
        <f>P3+Q3</f>
        <v>1313946</v>
      </c>
      <c r="J3" s="154">
        <f t="shared" ref="J3:J22" si="2">I3/H3</f>
        <v>0.94850571725571731</v>
      </c>
      <c r="L3" s="234">
        <v>938</v>
      </c>
      <c r="M3" s="234">
        <v>58</v>
      </c>
      <c r="N3" s="234">
        <v>1867</v>
      </c>
      <c r="O3" s="234">
        <v>116</v>
      </c>
      <c r="P3" s="234">
        <v>1236690</v>
      </c>
      <c r="Q3" s="234">
        <v>77256</v>
      </c>
    </row>
    <row r="4" spans="1:17" ht="13.5" customHeight="1" x14ac:dyDescent="0.2">
      <c r="A4" s="156" t="s">
        <v>105</v>
      </c>
      <c r="B4" s="157">
        <v>1435</v>
      </c>
      <c r="C4" s="153">
        <f t="shared" ref="C4:C21" si="3">L4+M4</f>
        <v>1606</v>
      </c>
      <c r="D4" s="158">
        <f t="shared" si="0"/>
        <v>1.1191637630662021</v>
      </c>
      <c r="E4" s="159">
        <v>9380</v>
      </c>
      <c r="F4" s="153">
        <f t="shared" ref="F4:F21" si="4">N4+O4</f>
        <v>11535</v>
      </c>
      <c r="G4" s="158">
        <f t="shared" si="1"/>
        <v>1.2297441364605544</v>
      </c>
      <c r="H4" s="160">
        <v>2400000</v>
      </c>
      <c r="I4" s="153">
        <f t="shared" ref="I4:I21" si="5">P4+Q4</f>
        <v>2479732</v>
      </c>
      <c r="J4" s="158">
        <f t="shared" si="2"/>
        <v>1.0332216666666667</v>
      </c>
      <c r="L4" s="234">
        <v>1486</v>
      </c>
      <c r="M4" s="234">
        <v>120</v>
      </c>
      <c r="N4" s="234">
        <v>10718</v>
      </c>
      <c r="O4" s="234">
        <v>817</v>
      </c>
      <c r="P4" s="234">
        <v>2299568</v>
      </c>
      <c r="Q4" s="234">
        <v>180164</v>
      </c>
    </row>
    <row r="5" spans="1:17" ht="13.5" customHeight="1" x14ac:dyDescent="0.2">
      <c r="A5" s="156" t="s">
        <v>95</v>
      </c>
      <c r="B5" s="157">
        <v>1670</v>
      </c>
      <c r="C5" s="153">
        <f t="shared" si="3"/>
        <v>2486</v>
      </c>
      <c r="D5" s="158">
        <f t="shared" si="0"/>
        <v>1.488622754491018</v>
      </c>
      <c r="E5" s="159">
        <v>4000</v>
      </c>
      <c r="F5" s="153">
        <f t="shared" si="4"/>
        <v>6778</v>
      </c>
      <c r="G5" s="158">
        <f t="shared" si="1"/>
        <v>1.6944999999999999</v>
      </c>
      <c r="H5" s="160">
        <v>1715000</v>
      </c>
      <c r="I5" s="153">
        <f t="shared" si="5"/>
        <v>2589216</v>
      </c>
      <c r="J5" s="158">
        <f t="shared" si="2"/>
        <v>1.5097469387755102</v>
      </c>
      <c r="L5" s="234">
        <v>2329</v>
      </c>
      <c r="M5" s="234">
        <v>157</v>
      </c>
      <c r="N5" s="234">
        <v>6384</v>
      </c>
      <c r="O5" s="234">
        <v>394</v>
      </c>
      <c r="P5" s="234">
        <v>2432221</v>
      </c>
      <c r="Q5" s="234">
        <v>156995</v>
      </c>
    </row>
    <row r="6" spans="1:17" ht="13.5" customHeight="1" x14ac:dyDescent="0.2">
      <c r="A6" s="156" t="s">
        <v>189</v>
      </c>
      <c r="B6" s="157">
        <v>3275</v>
      </c>
      <c r="C6" s="153">
        <f t="shared" si="3"/>
        <v>3484</v>
      </c>
      <c r="D6" s="158">
        <f t="shared" si="0"/>
        <v>1.0638167938931298</v>
      </c>
      <c r="E6" s="159">
        <v>11475</v>
      </c>
      <c r="F6" s="153">
        <f t="shared" si="4"/>
        <v>10752</v>
      </c>
      <c r="G6" s="158">
        <f t="shared" si="1"/>
        <v>0.93699346405228756</v>
      </c>
      <c r="H6" s="160">
        <v>1408250</v>
      </c>
      <c r="I6" s="153">
        <f t="shared" si="5"/>
        <v>1802905</v>
      </c>
      <c r="J6" s="158">
        <f t="shared" si="2"/>
        <v>1.2802449849103497</v>
      </c>
      <c r="L6" s="234">
        <v>3283</v>
      </c>
      <c r="M6" s="234">
        <v>201</v>
      </c>
      <c r="N6" s="234">
        <v>10191</v>
      </c>
      <c r="O6" s="234">
        <v>561</v>
      </c>
      <c r="P6" s="234">
        <v>1710117</v>
      </c>
      <c r="Q6" s="234">
        <v>92788</v>
      </c>
    </row>
    <row r="7" spans="1:17" ht="13.5" customHeight="1" x14ac:dyDescent="0.2">
      <c r="A7" s="156" t="s">
        <v>140</v>
      </c>
      <c r="B7" s="157">
        <v>45300</v>
      </c>
      <c r="C7" s="153">
        <f t="shared" si="3"/>
        <v>38292</v>
      </c>
      <c r="D7" s="158">
        <f t="shared" si="0"/>
        <v>0.84529801324503306</v>
      </c>
      <c r="E7" s="159">
        <v>126000</v>
      </c>
      <c r="F7" s="153">
        <f t="shared" si="4"/>
        <v>108360</v>
      </c>
      <c r="G7" s="158">
        <f t="shared" si="1"/>
        <v>0.86</v>
      </c>
      <c r="H7" s="160">
        <v>25600000</v>
      </c>
      <c r="I7" s="153">
        <f t="shared" si="5"/>
        <v>21019678</v>
      </c>
      <c r="J7" s="158">
        <f t="shared" si="2"/>
        <v>0.82108117187499996</v>
      </c>
      <c r="L7" s="234">
        <v>35864</v>
      </c>
      <c r="M7" s="234">
        <v>2428</v>
      </c>
      <c r="N7" s="234">
        <v>103444</v>
      </c>
      <c r="O7" s="234">
        <v>4916</v>
      </c>
      <c r="P7" s="234">
        <v>19853432</v>
      </c>
      <c r="Q7" s="234">
        <v>1166246</v>
      </c>
    </row>
    <row r="8" spans="1:17" ht="13.5" customHeight="1" x14ac:dyDescent="0.2">
      <c r="A8" s="156" t="s">
        <v>141</v>
      </c>
      <c r="B8" s="157">
        <v>10140</v>
      </c>
      <c r="C8" s="153">
        <f t="shared" si="3"/>
        <v>11034</v>
      </c>
      <c r="D8" s="158">
        <f t="shared" si="0"/>
        <v>1.0881656804733728</v>
      </c>
      <c r="E8" s="159">
        <v>30420</v>
      </c>
      <c r="F8" s="153">
        <f t="shared" si="4"/>
        <v>31021</v>
      </c>
      <c r="G8" s="158">
        <f t="shared" si="1"/>
        <v>1.0197567389875082</v>
      </c>
      <c r="H8" s="160">
        <v>9600000</v>
      </c>
      <c r="I8" s="153">
        <f t="shared" si="5"/>
        <v>9195296</v>
      </c>
      <c r="J8" s="158">
        <f t="shared" si="2"/>
        <v>0.95784333333333338</v>
      </c>
      <c r="L8" s="234">
        <v>10230</v>
      </c>
      <c r="M8" s="234">
        <v>804</v>
      </c>
      <c r="N8" s="234">
        <v>28709</v>
      </c>
      <c r="O8" s="234">
        <v>2312</v>
      </c>
      <c r="P8" s="234">
        <v>8526048</v>
      </c>
      <c r="Q8" s="234">
        <v>669248</v>
      </c>
    </row>
    <row r="9" spans="1:17" ht="13.5" customHeight="1" x14ac:dyDescent="0.2">
      <c r="A9" s="156" t="s">
        <v>97</v>
      </c>
      <c r="B9" s="157">
        <v>2520</v>
      </c>
      <c r="C9" s="153">
        <f t="shared" si="3"/>
        <v>2809</v>
      </c>
      <c r="D9" s="158">
        <f t="shared" si="0"/>
        <v>1.1146825396825397</v>
      </c>
      <c r="E9" s="159">
        <v>5040</v>
      </c>
      <c r="F9" s="153">
        <f t="shared" si="4"/>
        <v>5397</v>
      </c>
      <c r="G9" s="158">
        <f t="shared" si="1"/>
        <v>1.0708333333333333</v>
      </c>
      <c r="H9" s="160">
        <v>5040000</v>
      </c>
      <c r="I9" s="153">
        <f t="shared" si="5"/>
        <v>5822629</v>
      </c>
      <c r="J9" s="158">
        <f t="shared" si="2"/>
        <v>1.1552835317460317</v>
      </c>
      <c r="L9" s="234">
        <v>2633</v>
      </c>
      <c r="M9" s="234">
        <v>176</v>
      </c>
      <c r="N9" s="234">
        <v>5046</v>
      </c>
      <c r="O9" s="234">
        <v>351</v>
      </c>
      <c r="P9" s="234">
        <v>5473334</v>
      </c>
      <c r="Q9" s="234">
        <v>349295</v>
      </c>
    </row>
    <row r="10" spans="1:17" ht="13.5" customHeight="1" x14ac:dyDescent="0.2">
      <c r="A10" s="156" t="s">
        <v>116</v>
      </c>
      <c r="B10" s="157">
        <v>20740</v>
      </c>
      <c r="C10" s="153">
        <f t="shared" si="3"/>
        <v>21880</v>
      </c>
      <c r="D10" s="158">
        <f t="shared" si="0"/>
        <v>1.0549662487945999</v>
      </c>
      <c r="E10" s="159">
        <v>147464</v>
      </c>
      <c r="F10" s="153">
        <f t="shared" si="4"/>
        <v>152899</v>
      </c>
      <c r="G10" s="158">
        <f t="shared" si="1"/>
        <v>1.0368564531004176</v>
      </c>
      <c r="H10" s="160">
        <v>20370000</v>
      </c>
      <c r="I10" s="153">
        <f t="shared" si="5"/>
        <v>21148199</v>
      </c>
      <c r="J10" s="158">
        <f t="shared" si="2"/>
        <v>1.0382031909671086</v>
      </c>
      <c r="L10" s="234">
        <v>20458</v>
      </c>
      <c r="M10" s="234">
        <v>1422</v>
      </c>
      <c r="N10" s="234">
        <v>142851</v>
      </c>
      <c r="O10" s="234">
        <v>10048</v>
      </c>
      <c r="P10" s="234">
        <v>19735035</v>
      </c>
      <c r="Q10" s="234">
        <v>1413164</v>
      </c>
    </row>
    <row r="11" spans="1:17" ht="13.5" customHeight="1" x14ac:dyDescent="0.2">
      <c r="A11" s="156" t="s">
        <v>109</v>
      </c>
      <c r="B11" s="157">
        <v>9600</v>
      </c>
      <c r="C11" s="153">
        <f t="shared" si="3"/>
        <v>10458</v>
      </c>
      <c r="D11" s="158">
        <f t="shared" si="0"/>
        <v>1.089375</v>
      </c>
      <c r="E11" s="159">
        <v>39500</v>
      </c>
      <c r="F11" s="153">
        <f t="shared" si="4"/>
        <v>43041</v>
      </c>
      <c r="G11" s="158">
        <f t="shared" si="1"/>
        <v>1.0896455696202532</v>
      </c>
      <c r="H11" s="160">
        <v>13300000</v>
      </c>
      <c r="I11" s="153">
        <f t="shared" si="5"/>
        <v>10521720</v>
      </c>
      <c r="J11" s="158">
        <f t="shared" si="2"/>
        <v>0.7911067669172932</v>
      </c>
      <c r="L11" s="234">
        <v>9713</v>
      </c>
      <c r="M11" s="234">
        <f>667+78</f>
        <v>745</v>
      </c>
      <c r="N11" s="234">
        <v>39871</v>
      </c>
      <c r="O11" s="234">
        <f>3018+152</f>
        <v>3170</v>
      </c>
      <c r="P11" s="234">
        <v>9750924</v>
      </c>
      <c r="Q11" s="234">
        <f>679689+91107</f>
        <v>770796</v>
      </c>
    </row>
    <row r="12" spans="1:17" ht="13.5" customHeight="1" x14ac:dyDescent="0.2">
      <c r="A12" s="156" t="s">
        <v>98</v>
      </c>
      <c r="B12" s="157">
        <v>11200</v>
      </c>
      <c r="C12" s="153">
        <f t="shared" si="3"/>
        <v>12258</v>
      </c>
      <c r="D12" s="158">
        <f t="shared" si="0"/>
        <v>1.0944642857142857</v>
      </c>
      <c r="E12" s="159">
        <v>27200</v>
      </c>
      <c r="F12" s="153">
        <f t="shared" si="4"/>
        <v>30313</v>
      </c>
      <c r="G12" s="158">
        <f t="shared" si="1"/>
        <v>1.1144485294117648</v>
      </c>
      <c r="H12" s="160">
        <v>22500000</v>
      </c>
      <c r="I12" s="153">
        <f t="shared" si="5"/>
        <v>23540278</v>
      </c>
      <c r="J12" s="158">
        <f t="shared" si="2"/>
        <v>1.0462345777777777</v>
      </c>
      <c r="L12" s="234">
        <v>11475</v>
      </c>
      <c r="M12" s="234">
        <v>783</v>
      </c>
      <c r="N12" s="234">
        <v>28367</v>
      </c>
      <c r="O12" s="234">
        <v>1946</v>
      </c>
      <c r="P12" s="234">
        <v>21955542</v>
      </c>
      <c r="Q12" s="234">
        <v>1584736</v>
      </c>
    </row>
    <row r="13" spans="1:17" ht="13.5" customHeight="1" x14ac:dyDescent="0.2">
      <c r="A13" s="156" t="s">
        <v>190</v>
      </c>
      <c r="B13" s="157">
        <v>4320</v>
      </c>
      <c r="C13" s="153">
        <f t="shared" si="3"/>
        <v>4445</v>
      </c>
      <c r="D13" s="158">
        <f t="shared" si="0"/>
        <v>1.0289351851851851</v>
      </c>
      <c r="E13" s="159">
        <v>8440</v>
      </c>
      <c r="F13" s="153">
        <f t="shared" si="4"/>
        <v>7034</v>
      </c>
      <c r="G13" s="158">
        <f t="shared" si="1"/>
        <v>0.83341232227488149</v>
      </c>
      <c r="H13" s="160">
        <v>15529600</v>
      </c>
      <c r="I13" s="153">
        <f t="shared" si="5"/>
        <v>9770782</v>
      </c>
      <c r="J13" s="158">
        <f t="shared" si="2"/>
        <v>0.6291715176179683</v>
      </c>
      <c r="L13" s="234">
        <v>4162</v>
      </c>
      <c r="M13" s="234">
        <v>283</v>
      </c>
      <c r="N13" s="234">
        <v>6590</v>
      </c>
      <c r="O13" s="234">
        <v>444</v>
      </c>
      <c r="P13" s="234">
        <v>9126202</v>
      </c>
      <c r="Q13" s="234">
        <v>644580</v>
      </c>
    </row>
    <row r="14" spans="1:17" ht="13.5" customHeight="1" x14ac:dyDescent="0.2">
      <c r="A14" s="156" t="s">
        <v>142</v>
      </c>
      <c r="B14" s="157">
        <v>12700</v>
      </c>
      <c r="C14" s="153">
        <f t="shared" si="3"/>
        <v>12055</v>
      </c>
      <c r="D14" s="158">
        <f t="shared" si="0"/>
        <v>0.9492125984251969</v>
      </c>
      <c r="E14" s="159">
        <v>42630</v>
      </c>
      <c r="F14" s="153">
        <f t="shared" si="4"/>
        <v>45590</v>
      </c>
      <c r="G14" s="158">
        <f t="shared" si="1"/>
        <v>1.069434670419892</v>
      </c>
      <c r="H14" s="160">
        <v>17140000</v>
      </c>
      <c r="I14" s="153">
        <f t="shared" si="5"/>
        <v>16811521</v>
      </c>
      <c r="J14" s="158">
        <f t="shared" si="2"/>
        <v>0.9808355309218203</v>
      </c>
      <c r="L14" s="234">
        <v>11207</v>
      </c>
      <c r="M14" s="234">
        <v>848</v>
      </c>
      <c r="N14" s="234">
        <v>42790</v>
      </c>
      <c r="O14" s="234">
        <v>2800</v>
      </c>
      <c r="P14" s="234">
        <v>15842661</v>
      </c>
      <c r="Q14" s="234">
        <v>968860</v>
      </c>
    </row>
    <row r="15" spans="1:17" ht="13.5" customHeight="1" x14ac:dyDescent="0.2">
      <c r="A15" s="156" t="s">
        <v>111</v>
      </c>
      <c r="B15" s="157">
        <v>7150</v>
      </c>
      <c r="C15" s="153">
        <f t="shared" si="3"/>
        <v>7598</v>
      </c>
      <c r="D15" s="158">
        <f t="shared" si="0"/>
        <v>1.0626573426573427</v>
      </c>
      <c r="E15" s="159">
        <v>29900</v>
      </c>
      <c r="F15" s="153">
        <f t="shared" si="4"/>
        <v>27276</v>
      </c>
      <c r="G15" s="158">
        <f t="shared" si="1"/>
        <v>0.91224080267558527</v>
      </c>
      <c r="H15" s="160">
        <v>12500000</v>
      </c>
      <c r="I15" s="153">
        <f t="shared" si="5"/>
        <v>10115812</v>
      </c>
      <c r="J15" s="158">
        <f t="shared" si="2"/>
        <v>0.80926496000000003</v>
      </c>
      <c r="L15" s="234">
        <v>7074</v>
      </c>
      <c r="M15" s="234">
        <v>524</v>
      </c>
      <c r="N15" s="234">
        <v>25364</v>
      </c>
      <c r="O15" s="234">
        <v>1912</v>
      </c>
      <c r="P15" s="234">
        <v>9405208</v>
      </c>
      <c r="Q15" s="234">
        <v>710604</v>
      </c>
    </row>
    <row r="16" spans="1:17" ht="13.5" customHeight="1" x14ac:dyDescent="0.2">
      <c r="A16" s="161" t="s">
        <v>143</v>
      </c>
      <c r="B16" s="162">
        <v>18400</v>
      </c>
      <c r="C16" s="153">
        <f t="shared" si="3"/>
        <v>17905</v>
      </c>
      <c r="D16" s="158">
        <f t="shared" si="0"/>
        <v>0.9730978260869565</v>
      </c>
      <c r="E16" s="163">
        <v>181000</v>
      </c>
      <c r="F16" s="153">
        <f t="shared" si="4"/>
        <v>185060</v>
      </c>
      <c r="G16" s="158">
        <f t="shared" si="1"/>
        <v>1.0224309392265194</v>
      </c>
      <c r="H16" s="164">
        <v>22200000</v>
      </c>
      <c r="I16" s="153">
        <f t="shared" si="5"/>
        <v>25764642</v>
      </c>
      <c r="J16" s="158">
        <f t="shared" si="2"/>
        <v>1.1605694594594596</v>
      </c>
      <c r="L16" s="234">
        <v>16512</v>
      </c>
      <c r="M16" s="234">
        <v>1393</v>
      </c>
      <c r="N16" s="234">
        <v>171506</v>
      </c>
      <c r="O16" s="234">
        <v>13554</v>
      </c>
      <c r="P16" s="234">
        <v>23839122</v>
      </c>
      <c r="Q16" s="234">
        <v>1925520</v>
      </c>
    </row>
    <row r="17" spans="1:17" ht="13.5" customHeight="1" x14ac:dyDescent="0.2">
      <c r="A17" s="161" t="s">
        <v>214</v>
      </c>
      <c r="B17" s="162">
        <v>34100</v>
      </c>
      <c r="C17" s="153">
        <f t="shared" si="3"/>
        <v>35159</v>
      </c>
      <c r="D17" s="158">
        <f t="shared" si="0"/>
        <v>1.0310557184750733</v>
      </c>
      <c r="E17" s="163">
        <v>76700</v>
      </c>
      <c r="F17" s="153">
        <f t="shared" si="4"/>
        <v>96802</v>
      </c>
      <c r="G17" s="158">
        <f t="shared" si="1"/>
        <v>1.2620860495436768</v>
      </c>
      <c r="H17" s="164">
        <v>60000000</v>
      </c>
      <c r="I17" s="153">
        <f t="shared" si="5"/>
        <v>65885189</v>
      </c>
      <c r="J17" s="158">
        <f t="shared" si="2"/>
        <v>1.0980864833333333</v>
      </c>
      <c r="L17" s="234">
        <v>32806</v>
      </c>
      <c r="M17" s="234">
        <v>2353</v>
      </c>
      <c r="N17" s="234">
        <v>91020</v>
      </c>
      <c r="O17" s="234">
        <v>5782</v>
      </c>
      <c r="P17" s="234">
        <v>61679498</v>
      </c>
      <c r="Q17" s="234">
        <v>4205691</v>
      </c>
    </row>
    <row r="18" spans="1:17" ht="13.5" customHeight="1" x14ac:dyDescent="0.2">
      <c r="A18" s="161" t="s">
        <v>99</v>
      </c>
      <c r="B18" s="162">
        <v>27800</v>
      </c>
      <c r="C18" s="153">
        <f t="shared" si="3"/>
        <v>26054</v>
      </c>
      <c r="D18" s="158">
        <f t="shared" ref="D18:D20" si="6">C18/B18</f>
        <v>0.93719424460431655</v>
      </c>
      <c r="E18" s="163">
        <v>154210</v>
      </c>
      <c r="F18" s="153">
        <f t="shared" ref="F18:F20" si="7">N18+O18</f>
        <v>128044</v>
      </c>
      <c r="G18" s="158">
        <f t="shared" ref="G18:G20" si="8">F18/E18</f>
        <v>0.83032228778937811</v>
      </c>
      <c r="H18" s="164">
        <v>51650000</v>
      </c>
      <c r="I18" s="153">
        <f t="shared" ref="I18:I20" si="9">P18+Q18</f>
        <v>41574318</v>
      </c>
      <c r="J18" s="158">
        <f t="shared" ref="J18:J20" si="10">I18/H18</f>
        <v>0.80492387221684414</v>
      </c>
      <c r="L18" s="234">
        <v>24206</v>
      </c>
      <c r="M18" s="234">
        <f>139+1709</f>
        <v>1848</v>
      </c>
      <c r="N18" s="234">
        <v>118656</v>
      </c>
      <c r="O18" s="234">
        <f>662+8726</f>
        <v>9388</v>
      </c>
      <c r="P18" s="234">
        <v>38570208</v>
      </c>
      <c r="Q18" s="234">
        <f>210873+2793237</f>
        <v>3004110</v>
      </c>
    </row>
    <row r="19" spans="1:17" ht="13.5" customHeight="1" x14ac:dyDescent="0.2">
      <c r="A19" s="161" t="s">
        <v>100</v>
      </c>
      <c r="B19" s="162">
        <v>14400</v>
      </c>
      <c r="C19" s="153">
        <f t="shared" si="3"/>
        <v>13608</v>
      </c>
      <c r="D19" s="158">
        <f t="shared" si="6"/>
        <v>0.94499999999999995</v>
      </c>
      <c r="E19" s="163">
        <v>66240</v>
      </c>
      <c r="F19" s="153">
        <f t="shared" si="7"/>
        <v>60012</v>
      </c>
      <c r="G19" s="158">
        <f t="shared" si="8"/>
        <v>0.90597826086956523</v>
      </c>
      <c r="H19" s="164">
        <v>21336000</v>
      </c>
      <c r="I19" s="153">
        <f t="shared" si="9"/>
        <v>19750477</v>
      </c>
      <c r="J19" s="158">
        <f t="shared" si="10"/>
        <v>0.92568789838770149</v>
      </c>
      <c r="L19" s="234">
        <v>12682</v>
      </c>
      <c r="M19" s="234">
        <v>926</v>
      </c>
      <c r="N19" s="234">
        <v>55933</v>
      </c>
      <c r="O19" s="234">
        <v>4079</v>
      </c>
      <c r="P19" s="234">
        <v>18449023</v>
      </c>
      <c r="Q19" s="234">
        <v>1301454</v>
      </c>
    </row>
    <row r="20" spans="1:17" ht="13.5" customHeight="1" x14ac:dyDescent="0.2">
      <c r="A20" s="161" t="s">
        <v>106</v>
      </c>
      <c r="B20" s="162">
        <v>13830</v>
      </c>
      <c r="C20" s="153">
        <f t="shared" si="3"/>
        <v>12735</v>
      </c>
      <c r="D20" s="158">
        <f t="shared" si="6"/>
        <v>0.92082429501084595</v>
      </c>
      <c r="E20" s="163">
        <v>131435</v>
      </c>
      <c r="F20" s="153">
        <f t="shared" si="7"/>
        <v>117587</v>
      </c>
      <c r="G20" s="158">
        <f t="shared" si="8"/>
        <v>0.89463993609008252</v>
      </c>
      <c r="H20" s="164">
        <v>24202500</v>
      </c>
      <c r="I20" s="153">
        <f t="shared" si="9"/>
        <v>20297774</v>
      </c>
      <c r="J20" s="158">
        <f t="shared" si="10"/>
        <v>0.83866435285610985</v>
      </c>
      <c r="L20" s="234">
        <v>11802</v>
      </c>
      <c r="M20" s="234">
        <v>933</v>
      </c>
      <c r="N20" s="234">
        <v>109371</v>
      </c>
      <c r="O20" s="234">
        <v>8216</v>
      </c>
      <c r="P20" s="234">
        <v>18835115</v>
      </c>
      <c r="Q20" s="234">
        <v>1462659</v>
      </c>
    </row>
    <row r="21" spans="1:17" ht="13.5" customHeight="1" x14ac:dyDescent="0.2">
      <c r="A21" s="161" t="s">
        <v>112</v>
      </c>
      <c r="B21" s="162">
        <v>10620</v>
      </c>
      <c r="C21" s="153">
        <f t="shared" si="3"/>
        <v>11010</v>
      </c>
      <c r="D21" s="158">
        <f t="shared" si="0"/>
        <v>1.036723163841808</v>
      </c>
      <c r="E21" s="163">
        <v>46200</v>
      </c>
      <c r="F21" s="153">
        <f t="shared" si="4"/>
        <v>46752</v>
      </c>
      <c r="G21" s="158">
        <f t="shared" si="1"/>
        <v>1.0119480519480519</v>
      </c>
      <c r="H21" s="164">
        <v>16100000</v>
      </c>
      <c r="I21" s="153">
        <f t="shared" si="5"/>
        <v>15342891</v>
      </c>
      <c r="J21" s="158">
        <f t="shared" si="2"/>
        <v>0.95297459627329195</v>
      </c>
      <c r="L21" s="234">
        <v>10257</v>
      </c>
      <c r="M21" s="234">
        <v>753</v>
      </c>
      <c r="N21" s="234">
        <v>43339</v>
      </c>
      <c r="O21" s="234">
        <v>3413</v>
      </c>
      <c r="P21" s="234">
        <v>14250739</v>
      </c>
      <c r="Q21" s="234">
        <v>1092152</v>
      </c>
    </row>
    <row r="22" spans="1:17" ht="13.5" customHeight="1" thickBot="1" x14ac:dyDescent="0.25">
      <c r="A22" s="165" t="s">
        <v>139</v>
      </c>
      <c r="B22" s="166">
        <f>SUM(B3:B21)</f>
        <v>250240</v>
      </c>
      <c r="C22" s="167">
        <f>SUM(C3:C21)</f>
        <v>245872</v>
      </c>
      <c r="D22" s="168">
        <f t="shared" si="0"/>
        <v>0.98254475703324806</v>
      </c>
      <c r="E22" s="166">
        <f>SUM(E3:E21)</f>
        <v>1139314</v>
      </c>
      <c r="F22" s="167">
        <f>SUM(F3:F21)</f>
        <v>1116236</v>
      </c>
      <c r="G22" s="168">
        <f t="shared" si="1"/>
        <v>0.97974395118466029</v>
      </c>
      <c r="H22" s="166">
        <f>SUM(H3:H21)</f>
        <v>343976630</v>
      </c>
      <c r="I22" s="167">
        <f>SUM(I3:I21)</f>
        <v>324747005</v>
      </c>
      <c r="J22" s="168">
        <f t="shared" si="2"/>
        <v>0.94409612943763066</v>
      </c>
      <c r="L22" s="234">
        <f t="shared" ref="L22:Q22" si="11">SUM(L3:L21)</f>
        <v>229117</v>
      </c>
      <c r="M22" s="234">
        <f t="shared" si="11"/>
        <v>16755</v>
      </c>
      <c r="N22" s="234">
        <f t="shared" si="11"/>
        <v>1042017</v>
      </c>
      <c r="O22" s="234">
        <f t="shared" si="11"/>
        <v>74219</v>
      </c>
      <c r="P22" s="234">
        <f t="shared" si="11"/>
        <v>302970687</v>
      </c>
      <c r="Q22" s="234">
        <f t="shared" si="11"/>
        <v>21776318</v>
      </c>
    </row>
    <row r="23" spans="1:17" ht="12" customHeight="1" thickBot="1" x14ac:dyDescent="0.25">
      <c r="H23" s="169"/>
      <c r="I23" s="169"/>
    </row>
    <row r="24" spans="1:17" ht="13.5" customHeight="1" x14ac:dyDescent="0.2">
      <c r="A24" s="170" t="s">
        <v>108</v>
      </c>
      <c r="B24" s="171">
        <v>1425</v>
      </c>
      <c r="C24" s="172">
        <f>L24+M24</f>
        <v>1536</v>
      </c>
      <c r="D24" s="173">
        <f t="shared" ref="D24:D34" si="12">C24/B24</f>
        <v>1.0778947368421052</v>
      </c>
      <c r="E24" s="172">
        <v>16310</v>
      </c>
      <c r="F24" s="172">
        <f>N24+O24</f>
        <v>21609</v>
      </c>
      <c r="G24" s="174">
        <f t="shared" ref="G24:G34" si="13">F24/E24</f>
        <v>1.324892703862661</v>
      </c>
      <c r="H24" s="175">
        <v>5500000</v>
      </c>
      <c r="I24" s="172">
        <f>P24+Q24</f>
        <v>7103072</v>
      </c>
      <c r="J24" s="173">
        <f t="shared" ref="J24:J34" si="14">I24/H24</f>
        <v>1.2914676363636364</v>
      </c>
      <c r="L24" s="234">
        <v>1441</v>
      </c>
      <c r="M24" s="234">
        <v>95</v>
      </c>
      <c r="N24" s="234">
        <v>20380</v>
      </c>
      <c r="O24" s="234">
        <v>1229</v>
      </c>
      <c r="P24" s="234">
        <v>6694199</v>
      </c>
      <c r="Q24" s="234">
        <v>408873</v>
      </c>
    </row>
    <row r="25" spans="1:17" ht="13.5" customHeight="1" x14ac:dyDescent="0.2">
      <c r="A25" s="156" t="s">
        <v>107</v>
      </c>
      <c r="B25" s="157">
        <v>14548</v>
      </c>
      <c r="C25" s="153">
        <f t="shared" ref="C25" si="15">L25+M25</f>
        <v>15865</v>
      </c>
      <c r="D25" s="158">
        <f t="shared" si="12"/>
        <v>1.0905279076161671</v>
      </c>
      <c r="E25" s="159">
        <v>33211</v>
      </c>
      <c r="F25" s="153">
        <f t="shared" ref="F25" si="16">N25+O25</f>
        <v>58902</v>
      </c>
      <c r="G25" s="158">
        <f t="shared" si="13"/>
        <v>1.7735689982234801</v>
      </c>
      <c r="H25" s="160">
        <v>13995000</v>
      </c>
      <c r="I25" s="153">
        <f t="shared" ref="I25" si="17">P25+Q25</f>
        <v>17687113</v>
      </c>
      <c r="J25" s="158">
        <f t="shared" si="14"/>
        <v>1.2638165773490533</v>
      </c>
      <c r="L25" s="234">
        <v>14948</v>
      </c>
      <c r="M25" s="234">
        <v>917</v>
      </c>
      <c r="N25" s="234">
        <v>55142</v>
      </c>
      <c r="O25" s="234">
        <v>3760</v>
      </c>
      <c r="P25" s="234">
        <v>16576618</v>
      </c>
      <c r="Q25" s="234">
        <v>1110495</v>
      </c>
    </row>
    <row r="26" spans="1:17" ht="13.5" customHeight="1" x14ac:dyDescent="0.2">
      <c r="A26" s="156" t="s">
        <v>140</v>
      </c>
      <c r="B26" s="157">
        <v>26000</v>
      </c>
      <c r="C26" s="153">
        <f t="shared" ref="C26:C33" si="18">L26+M26</f>
        <v>25304</v>
      </c>
      <c r="D26" s="158">
        <f t="shared" si="12"/>
        <v>0.97323076923076923</v>
      </c>
      <c r="E26" s="159">
        <v>98000</v>
      </c>
      <c r="F26" s="153">
        <f t="shared" ref="F26:F33" si="19">N26+O26</f>
        <v>77166</v>
      </c>
      <c r="G26" s="176">
        <f t="shared" si="13"/>
        <v>0.78740816326530616</v>
      </c>
      <c r="H26" s="177">
        <v>20900000</v>
      </c>
      <c r="I26" s="153">
        <f t="shared" ref="I26:I33" si="20">P26+Q26</f>
        <v>16082026</v>
      </c>
      <c r="J26" s="158">
        <f t="shared" si="14"/>
        <v>0.76947492822966512</v>
      </c>
      <c r="L26" s="234">
        <v>23567</v>
      </c>
      <c r="M26" s="234">
        <v>1737</v>
      </c>
      <c r="N26" s="234">
        <v>72610</v>
      </c>
      <c r="O26" s="234">
        <v>4556</v>
      </c>
      <c r="P26" s="234">
        <v>15174402</v>
      </c>
      <c r="Q26" s="234">
        <v>907624</v>
      </c>
    </row>
    <row r="27" spans="1:17" ht="13.5" customHeight="1" x14ac:dyDescent="0.2">
      <c r="A27" s="156" t="s">
        <v>141</v>
      </c>
      <c r="B27" s="157">
        <v>10140</v>
      </c>
      <c r="C27" s="153">
        <f t="shared" si="18"/>
        <v>11041</v>
      </c>
      <c r="D27" s="158">
        <f t="shared" si="12"/>
        <v>1.0888560157790927</v>
      </c>
      <c r="E27" s="159">
        <v>30420</v>
      </c>
      <c r="F27" s="153">
        <f t="shared" si="19"/>
        <v>50042</v>
      </c>
      <c r="G27" s="176">
        <f t="shared" si="13"/>
        <v>1.6450361604207757</v>
      </c>
      <c r="H27" s="177">
        <v>9600000</v>
      </c>
      <c r="I27" s="153">
        <f t="shared" si="20"/>
        <v>11314380</v>
      </c>
      <c r="J27" s="158">
        <f t="shared" si="14"/>
        <v>1.1785812499999999</v>
      </c>
      <c r="L27" s="234">
        <v>10193</v>
      </c>
      <c r="M27" s="234">
        <v>848</v>
      </c>
      <c r="N27" s="234">
        <v>46103</v>
      </c>
      <c r="O27" s="234">
        <v>3939</v>
      </c>
      <c r="P27" s="234">
        <v>10438865</v>
      </c>
      <c r="Q27" s="234">
        <v>875515</v>
      </c>
    </row>
    <row r="28" spans="1:17" ht="13.5" customHeight="1" x14ac:dyDescent="0.2">
      <c r="A28" s="156" t="s">
        <v>116</v>
      </c>
      <c r="B28" s="157">
        <v>20200</v>
      </c>
      <c r="C28" s="153">
        <f t="shared" si="18"/>
        <v>16298</v>
      </c>
      <c r="D28" s="158">
        <f t="shared" si="12"/>
        <v>0.80683168316831688</v>
      </c>
      <c r="E28" s="159">
        <v>144000</v>
      </c>
      <c r="F28" s="153">
        <f t="shared" si="19"/>
        <v>110032</v>
      </c>
      <c r="G28" s="176">
        <f t="shared" si="13"/>
        <v>0.76411111111111107</v>
      </c>
      <c r="H28" s="177">
        <v>19200000</v>
      </c>
      <c r="I28" s="153">
        <f t="shared" si="20"/>
        <v>14507129</v>
      </c>
      <c r="J28" s="158">
        <f t="shared" si="14"/>
        <v>0.75557963541666662</v>
      </c>
      <c r="L28" s="234">
        <v>15031</v>
      </c>
      <c r="M28" s="234">
        <v>1267</v>
      </c>
      <c r="N28" s="234">
        <v>101542</v>
      </c>
      <c r="O28" s="234">
        <v>8490</v>
      </c>
      <c r="P28" s="234">
        <v>13393326</v>
      </c>
      <c r="Q28" s="234">
        <v>1113803</v>
      </c>
    </row>
    <row r="29" spans="1:17" ht="13.5" customHeight="1" x14ac:dyDescent="0.2">
      <c r="A29" s="156" t="s">
        <v>109</v>
      </c>
      <c r="B29" s="157">
        <v>8900</v>
      </c>
      <c r="C29" s="153">
        <f t="shared" si="18"/>
        <v>8660</v>
      </c>
      <c r="D29" s="158">
        <f t="shared" si="12"/>
        <v>0.97303370786516852</v>
      </c>
      <c r="E29" s="159">
        <v>39500</v>
      </c>
      <c r="F29" s="153">
        <f t="shared" si="19"/>
        <v>44870</v>
      </c>
      <c r="G29" s="176">
        <f t="shared" si="13"/>
        <v>1.1359493670886076</v>
      </c>
      <c r="H29" s="177">
        <v>13300000</v>
      </c>
      <c r="I29" s="153">
        <f t="shared" si="20"/>
        <v>10116127</v>
      </c>
      <c r="J29" s="158">
        <f t="shared" si="14"/>
        <v>0.76061105263157891</v>
      </c>
      <c r="L29" s="234">
        <v>7978</v>
      </c>
      <c r="M29" s="234">
        <f>537+145</f>
        <v>682</v>
      </c>
      <c r="N29" s="234">
        <v>41076</v>
      </c>
      <c r="O29" s="234">
        <f>3343+451</f>
        <v>3794</v>
      </c>
      <c r="P29" s="234">
        <v>9316439</v>
      </c>
      <c r="Q29" s="234">
        <f>594223+205465</f>
        <v>799688</v>
      </c>
    </row>
    <row r="30" spans="1:17" ht="13.5" customHeight="1" x14ac:dyDescent="0.2">
      <c r="A30" s="156" t="s">
        <v>142</v>
      </c>
      <c r="B30" s="157">
        <v>11350</v>
      </c>
      <c r="C30" s="153">
        <f t="shared" si="18"/>
        <v>10238</v>
      </c>
      <c r="D30" s="158">
        <f t="shared" si="12"/>
        <v>0.90202643171806163</v>
      </c>
      <c r="E30" s="159">
        <v>36500</v>
      </c>
      <c r="F30" s="153">
        <f t="shared" si="19"/>
        <v>39231</v>
      </c>
      <c r="G30" s="176">
        <f t="shared" si="13"/>
        <v>1.0748219178082192</v>
      </c>
      <c r="H30" s="177">
        <v>14400000</v>
      </c>
      <c r="I30" s="153">
        <f t="shared" si="20"/>
        <v>13291674</v>
      </c>
      <c r="J30" s="158">
        <f t="shared" si="14"/>
        <v>0.92303291666666665</v>
      </c>
      <c r="L30" s="234">
        <v>9396</v>
      </c>
      <c r="M30" s="234">
        <v>842</v>
      </c>
      <c r="N30" s="234">
        <v>36077</v>
      </c>
      <c r="O30" s="234">
        <v>3154</v>
      </c>
      <c r="P30" s="234">
        <v>12237076</v>
      </c>
      <c r="Q30" s="234">
        <v>1054598</v>
      </c>
    </row>
    <row r="31" spans="1:17" ht="13.5" customHeight="1" x14ac:dyDescent="0.2">
      <c r="A31" s="156" t="s">
        <v>143</v>
      </c>
      <c r="B31" s="157">
        <v>18100</v>
      </c>
      <c r="C31" s="153">
        <f t="shared" si="18"/>
        <v>17813</v>
      </c>
      <c r="D31" s="158">
        <f t="shared" si="12"/>
        <v>0.98414364640883978</v>
      </c>
      <c r="E31" s="159">
        <v>99500</v>
      </c>
      <c r="F31" s="153">
        <f t="shared" si="19"/>
        <v>150998</v>
      </c>
      <c r="G31" s="176">
        <f t="shared" si="13"/>
        <v>1.5175678391959799</v>
      </c>
      <c r="H31" s="177">
        <v>18150000</v>
      </c>
      <c r="I31" s="153">
        <f t="shared" si="20"/>
        <v>30384510</v>
      </c>
      <c r="J31" s="158">
        <f t="shared" si="14"/>
        <v>1.6740776859504132</v>
      </c>
      <c r="L31" s="234">
        <v>16441</v>
      </c>
      <c r="M31" s="234">
        <v>1372</v>
      </c>
      <c r="N31" s="234">
        <v>138732</v>
      </c>
      <c r="O31" s="234">
        <v>12266</v>
      </c>
      <c r="P31" s="234">
        <v>28189522</v>
      </c>
      <c r="Q31" s="234">
        <v>2194988</v>
      </c>
    </row>
    <row r="32" spans="1:17" ht="13.5" customHeight="1" x14ac:dyDescent="0.2">
      <c r="A32" s="156" t="s">
        <v>106</v>
      </c>
      <c r="B32" s="157">
        <v>12500</v>
      </c>
      <c r="C32" s="153">
        <f t="shared" si="18"/>
        <v>12074</v>
      </c>
      <c r="D32" s="158">
        <f t="shared" si="12"/>
        <v>0.96592</v>
      </c>
      <c r="E32" s="159">
        <v>125000</v>
      </c>
      <c r="F32" s="153">
        <f t="shared" si="19"/>
        <v>121383</v>
      </c>
      <c r="G32" s="176">
        <f t="shared" si="13"/>
        <v>0.97106400000000004</v>
      </c>
      <c r="H32" s="177">
        <v>21876000</v>
      </c>
      <c r="I32" s="153">
        <f t="shared" si="20"/>
        <v>20121629</v>
      </c>
      <c r="J32" s="158">
        <f t="shared" si="14"/>
        <v>0.91980384896690437</v>
      </c>
      <c r="L32" s="234">
        <v>11224</v>
      </c>
      <c r="M32" s="234">
        <v>850</v>
      </c>
      <c r="N32" s="234">
        <v>112777</v>
      </c>
      <c r="O32" s="234">
        <v>8606</v>
      </c>
      <c r="P32" s="234">
        <v>18709781</v>
      </c>
      <c r="Q32" s="234">
        <v>1411848</v>
      </c>
    </row>
    <row r="33" spans="1:17" ht="13.5" customHeight="1" x14ac:dyDescent="0.2">
      <c r="A33" s="156" t="s">
        <v>112</v>
      </c>
      <c r="B33" s="157">
        <v>11600</v>
      </c>
      <c r="C33" s="153">
        <f t="shared" si="18"/>
        <v>11786</v>
      </c>
      <c r="D33" s="158">
        <f t="shared" si="12"/>
        <v>1.0160344827586207</v>
      </c>
      <c r="E33" s="159">
        <v>39800</v>
      </c>
      <c r="F33" s="153">
        <f t="shared" si="19"/>
        <v>42553</v>
      </c>
      <c r="G33" s="176">
        <f t="shared" si="13"/>
        <v>1.0691708542713567</v>
      </c>
      <c r="H33" s="177">
        <v>13600000</v>
      </c>
      <c r="I33" s="153">
        <f t="shared" si="20"/>
        <v>14405266</v>
      </c>
      <c r="J33" s="158">
        <f t="shared" si="14"/>
        <v>1.0592107352941176</v>
      </c>
      <c r="L33" s="234">
        <v>10707</v>
      </c>
      <c r="M33" s="234">
        <v>1079</v>
      </c>
      <c r="N33" s="234">
        <v>38697</v>
      </c>
      <c r="O33" s="234">
        <v>3856</v>
      </c>
      <c r="P33" s="234">
        <v>13093894</v>
      </c>
      <c r="Q33" s="234">
        <v>1311372</v>
      </c>
    </row>
    <row r="34" spans="1:17" ht="13.5" customHeight="1" thickBot="1" x14ac:dyDescent="0.25">
      <c r="A34" s="165" t="s">
        <v>144</v>
      </c>
      <c r="B34" s="166">
        <f>SUM(B24:B33)</f>
        <v>134763</v>
      </c>
      <c r="C34" s="178">
        <f>SUM(C24:C33)</f>
        <v>130615</v>
      </c>
      <c r="D34" s="168">
        <f t="shared" si="12"/>
        <v>0.96922003814103275</v>
      </c>
      <c r="E34" s="167">
        <f>SUM(E24:E33)</f>
        <v>662241</v>
      </c>
      <c r="F34" s="178">
        <f>SUM(F24:F33)</f>
        <v>716786</v>
      </c>
      <c r="G34" s="179">
        <f t="shared" si="13"/>
        <v>1.0823642752411886</v>
      </c>
      <c r="H34" s="166">
        <f>SUM(H24:H33)</f>
        <v>150521000</v>
      </c>
      <c r="I34" s="178">
        <f>SUM(I24:I33)</f>
        <v>155012926</v>
      </c>
      <c r="J34" s="168">
        <f t="shared" si="14"/>
        <v>1.0298425203127803</v>
      </c>
      <c r="L34" s="234">
        <f t="shared" ref="L34:Q34" si="21">SUM(L24:L33)</f>
        <v>120926</v>
      </c>
      <c r="M34" s="234">
        <f t="shared" si="21"/>
        <v>9689</v>
      </c>
      <c r="N34" s="234">
        <f t="shared" si="21"/>
        <v>663136</v>
      </c>
      <c r="O34" s="234">
        <f t="shared" si="21"/>
        <v>53650</v>
      </c>
      <c r="P34" s="234">
        <f t="shared" si="21"/>
        <v>143824122</v>
      </c>
      <c r="Q34" s="234">
        <f t="shared" si="21"/>
        <v>11188804</v>
      </c>
    </row>
    <row r="35" spans="1:17" ht="12" customHeight="1" thickBot="1" x14ac:dyDescent="0.25">
      <c r="H35" s="169"/>
      <c r="I35" s="169"/>
    </row>
    <row r="36" spans="1:17" ht="13.5" customHeight="1" thickBot="1" x14ac:dyDescent="0.25">
      <c r="A36" s="180" t="s">
        <v>145</v>
      </c>
      <c r="B36" s="181">
        <f>SUM(B22,B34)</f>
        <v>385003</v>
      </c>
      <c r="C36" s="182">
        <f>SUM(C34,C22)</f>
        <v>376487</v>
      </c>
      <c r="D36" s="183">
        <f>C36/B36</f>
        <v>0.97788069183876491</v>
      </c>
      <c r="E36" s="184">
        <f>SUM(E22,E34)</f>
        <v>1801555</v>
      </c>
      <c r="F36" s="182">
        <f>SUM(F34,F22)</f>
        <v>1833022</v>
      </c>
      <c r="G36" s="185">
        <f>F36/E36</f>
        <v>1.0174665774844509</v>
      </c>
      <c r="H36" s="181">
        <f>SUM(H22,H34)</f>
        <v>494497630</v>
      </c>
      <c r="I36" s="182">
        <f>SUM(I34,I22)</f>
        <v>479759931</v>
      </c>
      <c r="J36" s="183">
        <f>I36/H36</f>
        <v>0.97019662359150238</v>
      </c>
      <c r="L36" s="234">
        <f t="shared" ref="L36:Q36" si="22">SUM(L34,L22)</f>
        <v>350043</v>
      </c>
      <c r="M36" s="234">
        <f t="shared" si="22"/>
        <v>26444</v>
      </c>
      <c r="N36" s="234">
        <f t="shared" si="22"/>
        <v>1705153</v>
      </c>
      <c r="O36" s="234">
        <f t="shared" si="22"/>
        <v>127869</v>
      </c>
      <c r="P36" s="234">
        <f t="shared" si="22"/>
        <v>446794809</v>
      </c>
      <c r="Q36" s="234">
        <f t="shared" si="22"/>
        <v>32965122</v>
      </c>
    </row>
    <row r="37" spans="1:17" ht="12" customHeight="1" thickBot="1" x14ac:dyDescent="0.25">
      <c r="H37" s="169"/>
      <c r="I37" s="169"/>
    </row>
    <row r="38" spans="1:17" ht="13.5" customHeight="1" thickBot="1" x14ac:dyDescent="0.25">
      <c r="A38" s="186" t="s">
        <v>146</v>
      </c>
      <c r="B38" s="187">
        <v>68000</v>
      </c>
      <c r="C38" s="188">
        <f>L38+M38</f>
        <v>72582</v>
      </c>
      <c r="D38" s="189">
        <f>C38/B38</f>
        <v>1.0673823529411766</v>
      </c>
      <c r="E38" s="188">
        <v>1100000</v>
      </c>
      <c r="F38" s="188">
        <f>N38+O38</f>
        <v>1271937</v>
      </c>
      <c r="G38" s="189">
        <f>F38/E38</f>
        <v>1.1563063636363637</v>
      </c>
      <c r="H38" s="190">
        <v>184000000</v>
      </c>
      <c r="I38" s="188">
        <f>P38+Q38</f>
        <v>208783374</v>
      </c>
      <c r="J38" s="189">
        <f>I38/H38</f>
        <v>1.1346922500000001</v>
      </c>
      <c r="L38" s="234">
        <v>66749</v>
      </c>
      <c r="M38" s="234">
        <v>5833</v>
      </c>
      <c r="N38" s="234">
        <v>1170078</v>
      </c>
      <c r="O38" s="234">
        <v>101859</v>
      </c>
      <c r="P38" s="234">
        <v>191784118</v>
      </c>
      <c r="Q38" s="234">
        <v>16999256</v>
      </c>
    </row>
    <row r="39" spans="1:17" ht="12" customHeight="1" thickBot="1" x14ac:dyDescent="0.25">
      <c r="H39" s="169"/>
      <c r="I39" s="169"/>
    </row>
    <row r="40" spans="1:17" ht="13.5" customHeight="1" thickBot="1" x14ac:dyDescent="0.25">
      <c r="A40" s="186" t="s">
        <v>147</v>
      </c>
      <c r="B40" s="187">
        <v>6060</v>
      </c>
      <c r="C40" s="188">
        <f>L40+M40</f>
        <v>6521</v>
      </c>
      <c r="D40" s="189">
        <f>C40/B40</f>
        <v>1.0760726072607261</v>
      </c>
      <c r="E40" s="188">
        <v>15220</v>
      </c>
      <c r="F40" s="188">
        <f>N40+O40</f>
        <v>18920</v>
      </c>
      <c r="G40" s="189">
        <f>F40/E40</f>
        <v>1.2431011826544021</v>
      </c>
      <c r="H40" s="190">
        <v>7290000</v>
      </c>
      <c r="I40" s="188">
        <f>P40+Q40</f>
        <v>7280525</v>
      </c>
      <c r="J40" s="189">
        <f>I40/H40</f>
        <v>0.99870027434842246</v>
      </c>
      <c r="L40" s="234">
        <v>6081</v>
      </c>
      <c r="M40" s="234">
        <v>440</v>
      </c>
      <c r="N40" s="234">
        <v>17796</v>
      </c>
      <c r="O40" s="234">
        <v>1124</v>
      </c>
      <c r="P40" s="234">
        <v>6687070</v>
      </c>
      <c r="Q40" s="234">
        <v>593455</v>
      </c>
    </row>
    <row r="41" spans="1:17" ht="12" customHeight="1" x14ac:dyDescent="0.2">
      <c r="B41" s="169"/>
    </row>
    <row r="42" spans="1:17" ht="13.5" customHeight="1" x14ac:dyDescent="0.2">
      <c r="A42" s="8" t="s">
        <v>229</v>
      </c>
      <c r="B42" s="169"/>
      <c r="L42" s="234">
        <f>SUM(L36,L38,L40)</f>
        <v>422873</v>
      </c>
      <c r="M42" s="234">
        <f>SUM(M36,M38,M40)</f>
        <v>32717</v>
      </c>
      <c r="N42" s="234">
        <f t="shared" ref="N42:Q42" si="23">SUM(N36,N38,N40)</f>
        <v>2893027</v>
      </c>
      <c r="O42" s="234">
        <f t="shared" si="23"/>
        <v>230852</v>
      </c>
      <c r="P42" s="234">
        <f t="shared" si="23"/>
        <v>645265997</v>
      </c>
      <c r="Q42" s="234">
        <f t="shared" si="23"/>
        <v>50557833</v>
      </c>
    </row>
    <row r="43" spans="1:17" ht="13.5" customHeight="1" x14ac:dyDescent="0.2">
      <c r="A43" s="8"/>
      <c r="B43" s="169"/>
    </row>
    <row r="44" spans="1:17" ht="13.5" customHeight="1" x14ac:dyDescent="0.2">
      <c r="B44" s="169"/>
    </row>
  </sheetData>
  <mergeCells count="7">
    <mergeCell ref="P1:Q1"/>
    <mergeCell ref="A1:A2"/>
    <mergeCell ref="B1:D1"/>
    <mergeCell ref="E1:G1"/>
    <mergeCell ref="H1:J1"/>
    <mergeCell ref="L1:M1"/>
    <mergeCell ref="N1:O1"/>
  </mergeCells>
  <conditionalFormatting sqref="L24:IU33 A25:Q25 L1:Q1 R1:IV23 A1:K65535 L3:Q40 L34:IV65535">
    <cfRule type="cellIs" dxfId="29" priority="3" stopIfTrue="1" operator="equal">
      <formula>0</formula>
    </cfRule>
  </conditionalFormatting>
  <conditionalFormatting sqref="L40:Q40">
    <cfRule type="cellIs" dxfId="28" priority="2" stopIfTrue="1" operator="equal">
      <formula>0</formula>
    </cfRule>
  </conditionalFormatting>
  <printOptions horizontalCentered="1" verticalCentered="1"/>
  <pageMargins left="0" right="0" top="0.6692913385826772" bottom="0.59055118110236227" header="0.31496062992125984" footer="0.31496062992125984"/>
  <pageSetup paperSize="9" scale="86" orientation="landscape" r:id="rId1"/>
  <headerFooter alignWithMargins="0">
    <oddHeader>&amp;C&amp;"Arial CE,Félkövér"XIII. Kerületi Egészségügyi Szolgálat Közhasznú Nonprofit Kft.2014. évi teljesítménye szakterületenkénti bontásban&amp;R2. sz. melléklet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opLeftCell="A2" zoomScale="90" zoomScaleNormal="90" workbookViewId="0">
      <selection activeCell="R2" sqref="R2"/>
    </sheetView>
  </sheetViews>
  <sheetFormatPr defaultRowHeight="26.25" customHeight="1" x14ac:dyDescent="0.2"/>
  <cols>
    <col min="1" max="1" width="14.42578125" style="3" customWidth="1"/>
    <col min="2" max="2" width="7.7109375" style="3" customWidth="1"/>
    <col min="3" max="13" width="7.7109375" style="8" customWidth="1"/>
    <col min="14" max="15" width="8.85546875" style="8" bestFit="1" customWidth="1"/>
    <col min="16" max="17" width="8.7109375" style="8" customWidth="1"/>
    <col min="18" max="264" width="9.140625" style="8"/>
    <col min="265" max="265" width="14.42578125" style="8" customWidth="1"/>
    <col min="266" max="271" width="13.7109375" style="8" customWidth="1"/>
    <col min="272" max="520" width="9.140625" style="8"/>
    <col min="521" max="521" width="14.42578125" style="8" customWidth="1"/>
    <col min="522" max="527" width="13.7109375" style="8" customWidth="1"/>
    <col min="528" max="776" width="9.140625" style="8"/>
    <col min="777" max="777" width="14.42578125" style="8" customWidth="1"/>
    <col min="778" max="783" width="13.7109375" style="8" customWidth="1"/>
    <col min="784" max="1032" width="9.140625" style="8"/>
    <col min="1033" max="1033" width="14.42578125" style="8" customWidth="1"/>
    <col min="1034" max="1039" width="13.7109375" style="8" customWidth="1"/>
    <col min="1040" max="1288" width="9.140625" style="8"/>
    <col min="1289" max="1289" width="14.42578125" style="8" customWidth="1"/>
    <col min="1290" max="1295" width="13.7109375" style="8" customWidth="1"/>
    <col min="1296" max="1544" width="9.140625" style="8"/>
    <col min="1545" max="1545" width="14.42578125" style="8" customWidth="1"/>
    <col min="1546" max="1551" width="13.7109375" style="8" customWidth="1"/>
    <col min="1552" max="1800" width="9.140625" style="8"/>
    <col min="1801" max="1801" width="14.42578125" style="8" customWidth="1"/>
    <col min="1802" max="1807" width="13.7109375" style="8" customWidth="1"/>
    <col min="1808" max="2056" width="9.140625" style="8"/>
    <col min="2057" max="2057" width="14.42578125" style="8" customWidth="1"/>
    <col min="2058" max="2063" width="13.7109375" style="8" customWidth="1"/>
    <col min="2064" max="2312" width="9.140625" style="8"/>
    <col min="2313" max="2313" width="14.42578125" style="8" customWidth="1"/>
    <col min="2314" max="2319" width="13.7109375" style="8" customWidth="1"/>
    <col min="2320" max="2568" width="9.140625" style="8"/>
    <col min="2569" max="2569" width="14.42578125" style="8" customWidth="1"/>
    <col min="2570" max="2575" width="13.7109375" style="8" customWidth="1"/>
    <col min="2576" max="2824" width="9.140625" style="8"/>
    <col min="2825" max="2825" width="14.42578125" style="8" customWidth="1"/>
    <col min="2826" max="2831" width="13.7109375" style="8" customWidth="1"/>
    <col min="2832" max="3080" width="9.140625" style="8"/>
    <col min="3081" max="3081" width="14.42578125" style="8" customWidth="1"/>
    <col min="3082" max="3087" width="13.7109375" style="8" customWidth="1"/>
    <col min="3088" max="3336" width="9.140625" style="8"/>
    <col min="3337" max="3337" width="14.42578125" style="8" customWidth="1"/>
    <col min="3338" max="3343" width="13.7109375" style="8" customWidth="1"/>
    <col min="3344" max="3592" width="9.140625" style="8"/>
    <col min="3593" max="3593" width="14.42578125" style="8" customWidth="1"/>
    <col min="3594" max="3599" width="13.7109375" style="8" customWidth="1"/>
    <col min="3600" max="3848" width="9.140625" style="8"/>
    <col min="3849" max="3849" width="14.42578125" style="8" customWidth="1"/>
    <col min="3850" max="3855" width="13.7109375" style="8" customWidth="1"/>
    <col min="3856" max="4104" width="9.140625" style="8"/>
    <col min="4105" max="4105" width="14.42578125" style="8" customWidth="1"/>
    <col min="4106" max="4111" width="13.7109375" style="8" customWidth="1"/>
    <col min="4112" max="4360" width="9.140625" style="8"/>
    <col min="4361" max="4361" width="14.42578125" style="8" customWidth="1"/>
    <col min="4362" max="4367" width="13.7109375" style="8" customWidth="1"/>
    <col min="4368" max="4616" width="9.140625" style="8"/>
    <col min="4617" max="4617" width="14.42578125" style="8" customWidth="1"/>
    <col min="4618" max="4623" width="13.7109375" style="8" customWidth="1"/>
    <col min="4624" max="4872" width="9.140625" style="8"/>
    <col min="4873" max="4873" width="14.42578125" style="8" customWidth="1"/>
    <col min="4874" max="4879" width="13.7109375" style="8" customWidth="1"/>
    <col min="4880" max="5128" width="9.140625" style="8"/>
    <col min="5129" max="5129" width="14.42578125" style="8" customWidth="1"/>
    <col min="5130" max="5135" width="13.7109375" style="8" customWidth="1"/>
    <col min="5136" max="5384" width="9.140625" style="8"/>
    <col min="5385" max="5385" width="14.42578125" style="8" customWidth="1"/>
    <col min="5386" max="5391" width="13.7109375" style="8" customWidth="1"/>
    <col min="5392" max="5640" width="9.140625" style="8"/>
    <col min="5641" max="5641" width="14.42578125" style="8" customWidth="1"/>
    <col min="5642" max="5647" width="13.7109375" style="8" customWidth="1"/>
    <col min="5648" max="5896" width="9.140625" style="8"/>
    <col min="5897" max="5897" width="14.42578125" style="8" customWidth="1"/>
    <col min="5898" max="5903" width="13.7109375" style="8" customWidth="1"/>
    <col min="5904" max="6152" width="9.140625" style="8"/>
    <col min="6153" max="6153" width="14.42578125" style="8" customWidth="1"/>
    <col min="6154" max="6159" width="13.7109375" style="8" customWidth="1"/>
    <col min="6160" max="6408" width="9.140625" style="8"/>
    <col min="6409" max="6409" width="14.42578125" style="8" customWidth="1"/>
    <col min="6410" max="6415" width="13.7109375" style="8" customWidth="1"/>
    <col min="6416" max="6664" width="9.140625" style="8"/>
    <col min="6665" max="6665" width="14.42578125" style="8" customWidth="1"/>
    <col min="6666" max="6671" width="13.7109375" style="8" customWidth="1"/>
    <col min="6672" max="6920" width="9.140625" style="8"/>
    <col min="6921" max="6921" width="14.42578125" style="8" customWidth="1"/>
    <col min="6922" max="6927" width="13.7109375" style="8" customWidth="1"/>
    <col min="6928" max="7176" width="9.140625" style="8"/>
    <col min="7177" max="7177" width="14.42578125" style="8" customWidth="1"/>
    <col min="7178" max="7183" width="13.7109375" style="8" customWidth="1"/>
    <col min="7184" max="7432" width="9.140625" style="8"/>
    <col min="7433" max="7433" width="14.42578125" style="8" customWidth="1"/>
    <col min="7434" max="7439" width="13.7109375" style="8" customWidth="1"/>
    <col min="7440" max="7688" width="9.140625" style="8"/>
    <col min="7689" max="7689" width="14.42578125" style="8" customWidth="1"/>
    <col min="7690" max="7695" width="13.7109375" style="8" customWidth="1"/>
    <col min="7696" max="7944" width="9.140625" style="8"/>
    <col min="7945" max="7945" width="14.42578125" style="8" customWidth="1"/>
    <col min="7946" max="7951" width="13.7109375" style="8" customWidth="1"/>
    <col min="7952" max="8200" width="9.140625" style="8"/>
    <col min="8201" max="8201" width="14.42578125" style="8" customWidth="1"/>
    <col min="8202" max="8207" width="13.7109375" style="8" customWidth="1"/>
    <col min="8208" max="8456" width="9.140625" style="8"/>
    <col min="8457" max="8457" width="14.42578125" style="8" customWidth="1"/>
    <col min="8458" max="8463" width="13.7109375" style="8" customWidth="1"/>
    <col min="8464" max="8712" width="9.140625" style="8"/>
    <col min="8713" max="8713" width="14.42578125" style="8" customWidth="1"/>
    <col min="8714" max="8719" width="13.7109375" style="8" customWidth="1"/>
    <col min="8720" max="8968" width="9.140625" style="8"/>
    <col min="8969" max="8969" width="14.42578125" style="8" customWidth="1"/>
    <col min="8970" max="8975" width="13.7109375" style="8" customWidth="1"/>
    <col min="8976" max="9224" width="9.140625" style="8"/>
    <col min="9225" max="9225" width="14.42578125" style="8" customWidth="1"/>
    <col min="9226" max="9231" width="13.7109375" style="8" customWidth="1"/>
    <col min="9232" max="9480" width="9.140625" style="8"/>
    <col min="9481" max="9481" width="14.42578125" style="8" customWidth="1"/>
    <col min="9482" max="9487" width="13.7109375" style="8" customWidth="1"/>
    <col min="9488" max="9736" width="9.140625" style="8"/>
    <col min="9737" max="9737" width="14.42578125" style="8" customWidth="1"/>
    <col min="9738" max="9743" width="13.7109375" style="8" customWidth="1"/>
    <col min="9744" max="9992" width="9.140625" style="8"/>
    <col min="9993" max="9993" width="14.42578125" style="8" customWidth="1"/>
    <col min="9994" max="9999" width="13.7109375" style="8" customWidth="1"/>
    <col min="10000" max="10248" width="9.140625" style="8"/>
    <col min="10249" max="10249" width="14.42578125" style="8" customWidth="1"/>
    <col min="10250" max="10255" width="13.7109375" style="8" customWidth="1"/>
    <col min="10256" max="10504" width="9.140625" style="8"/>
    <col min="10505" max="10505" width="14.42578125" style="8" customWidth="1"/>
    <col min="10506" max="10511" width="13.7109375" style="8" customWidth="1"/>
    <col min="10512" max="10760" width="9.140625" style="8"/>
    <col min="10761" max="10761" width="14.42578125" style="8" customWidth="1"/>
    <col min="10762" max="10767" width="13.7109375" style="8" customWidth="1"/>
    <col min="10768" max="11016" width="9.140625" style="8"/>
    <col min="11017" max="11017" width="14.42578125" style="8" customWidth="1"/>
    <col min="11018" max="11023" width="13.7109375" style="8" customWidth="1"/>
    <col min="11024" max="11272" width="9.140625" style="8"/>
    <col min="11273" max="11273" width="14.42578125" style="8" customWidth="1"/>
    <col min="11274" max="11279" width="13.7109375" style="8" customWidth="1"/>
    <col min="11280" max="11528" width="9.140625" style="8"/>
    <col min="11529" max="11529" width="14.42578125" style="8" customWidth="1"/>
    <col min="11530" max="11535" width="13.7109375" style="8" customWidth="1"/>
    <col min="11536" max="11784" width="9.140625" style="8"/>
    <col min="11785" max="11785" width="14.42578125" style="8" customWidth="1"/>
    <col min="11786" max="11791" width="13.7109375" style="8" customWidth="1"/>
    <col min="11792" max="12040" width="9.140625" style="8"/>
    <col min="12041" max="12041" width="14.42578125" style="8" customWidth="1"/>
    <col min="12042" max="12047" width="13.7109375" style="8" customWidth="1"/>
    <col min="12048" max="12296" width="9.140625" style="8"/>
    <col min="12297" max="12297" width="14.42578125" style="8" customWidth="1"/>
    <col min="12298" max="12303" width="13.7109375" style="8" customWidth="1"/>
    <col min="12304" max="12552" width="9.140625" style="8"/>
    <col min="12553" max="12553" width="14.42578125" style="8" customWidth="1"/>
    <col min="12554" max="12559" width="13.7109375" style="8" customWidth="1"/>
    <col min="12560" max="12808" width="9.140625" style="8"/>
    <col min="12809" max="12809" width="14.42578125" style="8" customWidth="1"/>
    <col min="12810" max="12815" width="13.7109375" style="8" customWidth="1"/>
    <col min="12816" max="13064" width="9.140625" style="8"/>
    <col min="13065" max="13065" width="14.42578125" style="8" customWidth="1"/>
    <col min="13066" max="13071" width="13.7109375" style="8" customWidth="1"/>
    <col min="13072" max="13320" width="9.140625" style="8"/>
    <col min="13321" max="13321" width="14.42578125" style="8" customWidth="1"/>
    <col min="13322" max="13327" width="13.7109375" style="8" customWidth="1"/>
    <col min="13328" max="13576" width="9.140625" style="8"/>
    <col min="13577" max="13577" width="14.42578125" style="8" customWidth="1"/>
    <col min="13578" max="13583" width="13.7109375" style="8" customWidth="1"/>
    <col min="13584" max="13832" width="9.140625" style="8"/>
    <col min="13833" max="13833" width="14.42578125" style="8" customWidth="1"/>
    <col min="13834" max="13839" width="13.7109375" style="8" customWidth="1"/>
    <col min="13840" max="14088" width="9.140625" style="8"/>
    <col min="14089" max="14089" width="14.42578125" style="8" customWidth="1"/>
    <col min="14090" max="14095" width="13.7109375" style="8" customWidth="1"/>
    <col min="14096" max="14344" width="9.140625" style="8"/>
    <col min="14345" max="14345" width="14.42578125" style="8" customWidth="1"/>
    <col min="14346" max="14351" width="13.7109375" style="8" customWidth="1"/>
    <col min="14352" max="14600" width="9.140625" style="8"/>
    <col min="14601" max="14601" width="14.42578125" style="8" customWidth="1"/>
    <col min="14602" max="14607" width="13.7109375" style="8" customWidth="1"/>
    <col min="14608" max="14856" width="9.140625" style="8"/>
    <col min="14857" max="14857" width="14.42578125" style="8" customWidth="1"/>
    <col min="14858" max="14863" width="13.7109375" style="8" customWidth="1"/>
    <col min="14864" max="15112" width="9.140625" style="8"/>
    <col min="15113" max="15113" width="14.42578125" style="8" customWidth="1"/>
    <col min="15114" max="15119" width="13.7109375" style="8" customWidth="1"/>
    <col min="15120" max="15368" width="9.140625" style="8"/>
    <col min="15369" max="15369" width="14.42578125" style="8" customWidth="1"/>
    <col min="15370" max="15375" width="13.7109375" style="8" customWidth="1"/>
    <col min="15376" max="15624" width="9.140625" style="8"/>
    <col min="15625" max="15625" width="14.42578125" style="8" customWidth="1"/>
    <col min="15626" max="15631" width="13.7109375" style="8" customWidth="1"/>
    <col min="15632" max="15880" width="9.140625" style="8"/>
    <col min="15881" max="15881" width="14.42578125" style="8" customWidth="1"/>
    <col min="15882" max="15887" width="13.7109375" style="8" customWidth="1"/>
    <col min="15888" max="16136" width="9.140625" style="8"/>
    <col min="16137" max="16137" width="14.42578125" style="8" customWidth="1"/>
    <col min="16138" max="16143" width="13.7109375" style="8" customWidth="1"/>
    <col min="16144" max="16384" width="9.140625" style="8"/>
  </cols>
  <sheetData>
    <row r="1" spans="1:17" s="3" customFormat="1" ht="26.25" customHeight="1" x14ac:dyDescent="0.2">
      <c r="A1" s="537" t="s">
        <v>148</v>
      </c>
      <c r="B1" s="537" t="s">
        <v>149</v>
      </c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8" t="s">
        <v>150</v>
      </c>
      <c r="O1" s="538"/>
      <c r="P1" s="538" t="s">
        <v>151</v>
      </c>
      <c r="Q1" s="538"/>
    </row>
    <row r="2" spans="1:17" s="3" customFormat="1" ht="26.25" customHeight="1" x14ac:dyDescent="0.2">
      <c r="A2" s="537"/>
      <c r="B2" s="537" t="s">
        <v>136</v>
      </c>
      <c r="C2" s="537"/>
      <c r="D2" s="537" t="s">
        <v>135</v>
      </c>
      <c r="E2" s="537"/>
      <c r="F2" s="537" t="s">
        <v>137</v>
      </c>
      <c r="G2" s="537"/>
      <c r="H2" s="537" t="s">
        <v>138</v>
      </c>
      <c r="I2" s="537"/>
      <c r="J2" s="537" t="s">
        <v>134</v>
      </c>
      <c r="K2" s="537"/>
      <c r="L2" s="537" t="s">
        <v>133</v>
      </c>
      <c r="M2" s="537"/>
      <c r="N2" s="538"/>
      <c r="O2" s="538"/>
      <c r="P2" s="538"/>
      <c r="Q2" s="538"/>
    </row>
    <row r="3" spans="1:17" s="3" customFormat="1" ht="26.25" customHeight="1" x14ac:dyDescent="0.2">
      <c r="A3" s="537"/>
      <c r="B3" s="191">
        <v>2013</v>
      </c>
      <c r="C3" s="192">
        <v>2014</v>
      </c>
      <c r="D3" s="191">
        <v>2013</v>
      </c>
      <c r="E3" s="192">
        <v>2014</v>
      </c>
      <c r="F3" s="191">
        <v>2013</v>
      </c>
      <c r="G3" s="192">
        <v>2014</v>
      </c>
      <c r="H3" s="191">
        <v>2013</v>
      </c>
      <c r="I3" s="192">
        <v>2014</v>
      </c>
      <c r="J3" s="191">
        <v>2013</v>
      </c>
      <c r="K3" s="192">
        <v>2014</v>
      </c>
      <c r="L3" s="191">
        <v>2013</v>
      </c>
      <c r="M3" s="192">
        <v>2014</v>
      </c>
      <c r="N3" s="191">
        <v>2013</v>
      </c>
      <c r="O3" s="192">
        <v>2014</v>
      </c>
      <c r="P3" s="191">
        <v>2013</v>
      </c>
      <c r="Q3" s="192">
        <v>2014</v>
      </c>
    </row>
    <row r="4" spans="1:17" ht="26.25" customHeight="1" x14ac:dyDescent="0.2">
      <c r="A4" s="106" t="s">
        <v>152</v>
      </c>
      <c r="B4" s="193">
        <v>20</v>
      </c>
      <c r="C4" s="194">
        <f>20+1</f>
        <v>21</v>
      </c>
      <c r="D4" s="193">
        <v>25</v>
      </c>
      <c r="E4" s="194">
        <f>14</f>
        <v>14</v>
      </c>
      <c r="F4" s="193">
        <v>24</v>
      </c>
      <c r="G4" s="194">
        <f>44</f>
        <v>44</v>
      </c>
      <c r="H4" s="193">
        <v>10</v>
      </c>
      <c r="I4" s="194">
        <f>7</f>
        <v>7</v>
      </c>
      <c r="J4" s="193">
        <v>11</v>
      </c>
      <c r="K4" s="194">
        <f>25+1</f>
        <v>26</v>
      </c>
      <c r="L4" s="193">
        <v>5</v>
      </c>
      <c r="M4" s="194">
        <f>3</f>
        <v>3</v>
      </c>
      <c r="N4" s="195">
        <v>52.441499999999998</v>
      </c>
      <c r="O4" s="196">
        <f>61.92179+0.43421</f>
        <v>62.356000000000002</v>
      </c>
      <c r="P4" s="193">
        <f>SUM(B4,D4,F4,H4,J4,L4)</f>
        <v>95</v>
      </c>
      <c r="Q4" s="194">
        <f>SUM(C4,E4,G4,I4,K4,M4)</f>
        <v>115</v>
      </c>
    </row>
    <row r="5" spans="1:17" ht="26.25" customHeight="1" x14ac:dyDescent="0.2">
      <c r="A5" s="106" t="s">
        <v>153</v>
      </c>
      <c r="B5" s="193">
        <v>21</v>
      </c>
      <c r="C5" s="194">
        <f>22</f>
        <v>22</v>
      </c>
      <c r="D5" s="193">
        <v>23</v>
      </c>
      <c r="E5" s="194">
        <f>19</f>
        <v>19</v>
      </c>
      <c r="F5" s="193">
        <v>25</v>
      </c>
      <c r="G5" s="194">
        <f>16</f>
        <v>16</v>
      </c>
      <c r="H5" s="193">
        <v>9</v>
      </c>
      <c r="I5" s="194">
        <f>8</f>
        <v>8</v>
      </c>
      <c r="J5" s="193">
        <v>7</v>
      </c>
      <c r="K5" s="194">
        <f>22</f>
        <v>22</v>
      </c>
      <c r="L5" s="193">
        <v>2</v>
      </c>
      <c r="M5" s="194">
        <f>4</f>
        <v>4</v>
      </c>
      <c r="N5" s="195">
        <v>46.368750000000006</v>
      </c>
      <c r="O5" s="196">
        <f>46.87946</f>
        <v>46.879460000000002</v>
      </c>
      <c r="P5" s="193">
        <f t="shared" ref="P5:Q8" si="0">SUM(B5,D5,F5,H5,J5,L5)</f>
        <v>87</v>
      </c>
      <c r="Q5" s="194">
        <f t="shared" si="0"/>
        <v>91</v>
      </c>
    </row>
    <row r="6" spans="1:17" ht="26.25" customHeight="1" x14ac:dyDescent="0.2">
      <c r="A6" s="106" t="s">
        <v>154</v>
      </c>
      <c r="B6" s="193">
        <v>28</v>
      </c>
      <c r="C6" s="194">
        <f>20+2</f>
        <v>22</v>
      </c>
      <c r="D6" s="193">
        <v>26</v>
      </c>
      <c r="E6" s="194">
        <f>24+1</f>
        <v>25</v>
      </c>
      <c r="F6" s="193">
        <v>24</v>
      </c>
      <c r="G6" s="194">
        <f>38</f>
        <v>38</v>
      </c>
      <c r="H6" s="193">
        <v>9</v>
      </c>
      <c r="I6" s="194">
        <f>9+1</f>
        <v>10</v>
      </c>
      <c r="J6" s="193">
        <v>10</v>
      </c>
      <c r="K6" s="194">
        <f>14+2</f>
        <v>16</v>
      </c>
      <c r="L6" s="193">
        <v>2</v>
      </c>
      <c r="M6" s="194">
        <f>1</f>
        <v>1</v>
      </c>
      <c r="N6" s="195">
        <v>53.416649999999997</v>
      </c>
      <c r="O6" s="196">
        <f>54.19998+0.43497+1.88611</f>
        <v>56.521059999999999</v>
      </c>
      <c r="P6" s="193">
        <f t="shared" si="0"/>
        <v>99</v>
      </c>
      <c r="Q6" s="194">
        <f t="shared" si="0"/>
        <v>112</v>
      </c>
    </row>
    <row r="7" spans="1:17" ht="26.25" customHeight="1" x14ac:dyDescent="0.2">
      <c r="A7" s="106" t="s">
        <v>155</v>
      </c>
      <c r="B7" s="193">
        <v>23</v>
      </c>
      <c r="C7" s="194">
        <f>22</f>
        <v>22</v>
      </c>
      <c r="D7" s="193">
        <v>26</v>
      </c>
      <c r="E7" s="194">
        <f>22</f>
        <v>22</v>
      </c>
      <c r="F7" s="193">
        <v>24</v>
      </c>
      <c r="G7" s="194">
        <f>26</f>
        <v>26</v>
      </c>
      <c r="H7" s="193">
        <v>14</v>
      </c>
      <c r="I7" s="194">
        <f>9</f>
        <v>9</v>
      </c>
      <c r="J7" s="193">
        <v>18</v>
      </c>
      <c r="K7" s="194">
        <f>21+3</f>
        <v>24</v>
      </c>
      <c r="L7" s="193">
        <v>2</v>
      </c>
      <c r="M7" s="194">
        <f>7</f>
        <v>7</v>
      </c>
      <c r="N7" s="195">
        <v>50.727119999999999</v>
      </c>
      <c r="O7" s="196">
        <f>53.01204+0.66385+0.37986</f>
        <v>54.055749999999996</v>
      </c>
      <c r="P7" s="193">
        <f t="shared" si="0"/>
        <v>107</v>
      </c>
      <c r="Q7" s="194">
        <f t="shared" si="0"/>
        <v>110</v>
      </c>
    </row>
    <row r="8" spans="1:17" ht="26.25" customHeight="1" x14ac:dyDescent="0.2">
      <c r="A8" s="106" t="s">
        <v>156</v>
      </c>
      <c r="B8" s="197">
        <v>21</v>
      </c>
      <c r="C8" s="198">
        <f>22+1</f>
        <v>23</v>
      </c>
      <c r="D8" s="197">
        <v>24</v>
      </c>
      <c r="E8" s="198">
        <f>16</f>
        <v>16</v>
      </c>
      <c r="F8" s="197">
        <v>27</v>
      </c>
      <c r="G8" s="198">
        <f>31</f>
        <v>31</v>
      </c>
      <c r="H8" s="197">
        <v>14</v>
      </c>
      <c r="I8" s="198">
        <f>10</f>
        <v>10</v>
      </c>
      <c r="J8" s="197">
        <v>17</v>
      </c>
      <c r="K8" s="198">
        <f>20</f>
        <v>20</v>
      </c>
      <c r="L8" s="197">
        <v>3</v>
      </c>
      <c r="M8" s="198">
        <f>3</f>
        <v>3</v>
      </c>
      <c r="N8" s="199">
        <v>53.004929999999995</v>
      </c>
      <c r="O8" s="200">
        <f>51.54049+0.2318</f>
        <v>51.772289999999998</v>
      </c>
      <c r="P8" s="193">
        <f t="shared" si="0"/>
        <v>106</v>
      </c>
      <c r="Q8" s="194">
        <f t="shared" si="0"/>
        <v>103</v>
      </c>
    </row>
    <row r="9" spans="1:17" s="296" customFormat="1" ht="26.25" customHeight="1" x14ac:dyDescent="0.2">
      <c r="A9" s="294" t="s">
        <v>157</v>
      </c>
      <c r="B9" s="197">
        <v>21</v>
      </c>
      <c r="C9" s="198">
        <f>15+1</f>
        <v>16</v>
      </c>
      <c r="D9" s="197">
        <v>22</v>
      </c>
      <c r="E9" s="198">
        <f>18+1</f>
        <v>19</v>
      </c>
      <c r="F9" s="197">
        <v>28</v>
      </c>
      <c r="G9" s="198">
        <f>23</f>
        <v>23</v>
      </c>
      <c r="H9" s="197">
        <v>6</v>
      </c>
      <c r="I9" s="198">
        <f>11+1</f>
        <v>12</v>
      </c>
      <c r="J9" s="197">
        <v>22</v>
      </c>
      <c r="K9" s="198">
        <f>20</f>
        <v>20</v>
      </c>
      <c r="L9" s="197">
        <v>1</v>
      </c>
      <c r="M9" s="198"/>
      <c r="N9" s="266">
        <v>47.747679999999995</v>
      </c>
      <c r="O9" s="295">
        <f>45.23653+1.51827</f>
        <v>46.754800000000003</v>
      </c>
      <c r="P9" s="193">
        <f t="shared" ref="P9:P11" si="1">SUM(B9,D9,F9,H9,J9,L9)</f>
        <v>100</v>
      </c>
      <c r="Q9" s="194">
        <f t="shared" ref="Q9:Q11" si="2">SUM(C9,E9,G9,I9,K9,M9)</f>
        <v>90</v>
      </c>
    </row>
    <row r="10" spans="1:17" s="296" customFormat="1" ht="26.25" customHeight="1" x14ac:dyDescent="0.2">
      <c r="A10" s="294" t="s">
        <v>219</v>
      </c>
      <c r="B10" s="197">
        <v>23</v>
      </c>
      <c r="C10" s="198">
        <f>13+2</f>
        <v>15</v>
      </c>
      <c r="D10" s="197">
        <v>19</v>
      </c>
      <c r="E10" s="198">
        <f>21+1</f>
        <v>22</v>
      </c>
      <c r="F10" s="197">
        <v>24</v>
      </c>
      <c r="G10" s="198">
        <f>28</f>
        <v>28</v>
      </c>
      <c r="H10" s="197">
        <v>7</v>
      </c>
      <c r="I10" s="198">
        <f>3+2</f>
        <v>5</v>
      </c>
      <c r="J10" s="197">
        <v>16</v>
      </c>
      <c r="K10" s="198">
        <f>13+1</f>
        <v>14</v>
      </c>
      <c r="L10" s="197"/>
      <c r="M10" s="198">
        <f>3</f>
        <v>3</v>
      </c>
      <c r="N10" s="266">
        <v>45.516999999999996</v>
      </c>
      <c r="O10" s="295">
        <f>43.15153+3.09292</f>
        <v>46.244450000000001</v>
      </c>
      <c r="P10" s="193">
        <f t="shared" si="1"/>
        <v>89</v>
      </c>
      <c r="Q10" s="194">
        <f t="shared" si="2"/>
        <v>87</v>
      </c>
    </row>
    <row r="11" spans="1:17" s="296" customFormat="1" ht="26.25" customHeight="1" x14ac:dyDescent="0.2">
      <c r="A11" s="294" t="s">
        <v>220</v>
      </c>
      <c r="B11" s="197">
        <v>1</v>
      </c>
      <c r="C11" s="198">
        <v>2</v>
      </c>
      <c r="D11" s="197">
        <v>11</v>
      </c>
      <c r="E11" s="198">
        <f>6+12</f>
        <v>18</v>
      </c>
      <c r="F11" s="197">
        <v>20</v>
      </c>
      <c r="G11" s="198">
        <v>20</v>
      </c>
      <c r="H11" s="197">
        <v>4</v>
      </c>
      <c r="I11" s="198">
        <f>2</f>
        <v>2</v>
      </c>
      <c r="J11" s="197">
        <v>3</v>
      </c>
      <c r="K11" s="198">
        <f>3</f>
        <v>3</v>
      </c>
      <c r="L11" s="197"/>
      <c r="M11" s="198">
        <f>1</f>
        <v>1</v>
      </c>
      <c r="N11" s="266">
        <v>22.832940000000001</v>
      </c>
      <c r="O11" s="295">
        <f>21.65333+7.7042</f>
        <v>29.357530000000001</v>
      </c>
      <c r="P11" s="193">
        <f t="shared" si="1"/>
        <v>39</v>
      </c>
      <c r="Q11" s="194">
        <f t="shared" si="2"/>
        <v>46</v>
      </c>
    </row>
    <row r="12" spans="1:17" s="296" customFormat="1" ht="26.25" customHeight="1" x14ac:dyDescent="0.2">
      <c r="A12" s="297" t="s">
        <v>221</v>
      </c>
      <c r="B12" s="197">
        <v>25</v>
      </c>
      <c r="C12" s="198">
        <f>18</f>
        <v>18</v>
      </c>
      <c r="D12" s="197">
        <v>27</v>
      </c>
      <c r="E12" s="198">
        <f>29+1</f>
        <v>30</v>
      </c>
      <c r="F12" s="197">
        <v>32</v>
      </c>
      <c r="G12" s="198">
        <f>35</f>
        <v>35</v>
      </c>
      <c r="H12" s="197">
        <v>9</v>
      </c>
      <c r="I12" s="198">
        <f>9</f>
        <v>9</v>
      </c>
      <c r="J12" s="197">
        <v>14</v>
      </c>
      <c r="K12" s="198">
        <f>17</f>
        <v>17</v>
      </c>
      <c r="L12" s="197">
        <v>1</v>
      </c>
      <c r="M12" s="198">
        <f>1</f>
        <v>1</v>
      </c>
      <c r="N12" s="266">
        <v>58.587899999999998</v>
      </c>
      <c r="O12" s="295">
        <f>58.05462+0.06476</f>
        <v>58.11938</v>
      </c>
      <c r="P12" s="193">
        <f t="shared" ref="P12:P14" si="3">SUM(B12,D12,F12,H12,J12,L12)</f>
        <v>108</v>
      </c>
      <c r="Q12" s="194">
        <f t="shared" ref="Q12:Q14" si="4">SUM(C12,E12,G12,I12,K12,M12)</f>
        <v>110</v>
      </c>
    </row>
    <row r="13" spans="1:17" s="296" customFormat="1" ht="26.25" customHeight="1" x14ac:dyDescent="0.2">
      <c r="A13" s="294" t="s">
        <v>230</v>
      </c>
      <c r="B13" s="197">
        <v>28</v>
      </c>
      <c r="C13" s="198">
        <f>33+2</f>
        <v>35</v>
      </c>
      <c r="D13" s="197">
        <v>25</v>
      </c>
      <c r="E13" s="198">
        <f>26+3</f>
        <v>29</v>
      </c>
      <c r="F13" s="197">
        <v>33</v>
      </c>
      <c r="G13" s="198">
        <f>29</f>
        <v>29</v>
      </c>
      <c r="H13" s="197">
        <v>11</v>
      </c>
      <c r="I13" s="198">
        <f>6</f>
        <v>6</v>
      </c>
      <c r="J13" s="197">
        <v>34</v>
      </c>
      <c r="K13" s="198">
        <f>9</f>
        <v>9</v>
      </c>
      <c r="L13" s="197">
        <v>1</v>
      </c>
      <c r="M13" s="198">
        <f>3</f>
        <v>3</v>
      </c>
      <c r="N13" s="266">
        <v>64.216309999999993</v>
      </c>
      <c r="O13" s="295">
        <f>57.502+2.52663</f>
        <v>60.02863</v>
      </c>
      <c r="P13" s="193">
        <f t="shared" si="3"/>
        <v>132</v>
      </c>
      <c r="Q13" s="194">
        <f t="shared" si="4"/>
        <v>111</v>
      </c>
    </row>
    <row r="14" spans="1:17" s="296" customFormat="1" ht="26.25" customHeight="1" x14ac:dyDescent="0.2">
      <c r="A14" s="294" t="s">
        <v>231</v>
      </c>
      <c r="B14" s="197">
        <v>25</v>
      </c>
      <c r="C14" s="198">
        <f>17+1</f>
        <v>18</v>
      </c>
      <c r="D14" s="197">
        <v>11</v>
      </c>
      <c r="E14" s="198">
        <f>25+1</f>
        <v>26</v>
      </c>
      <c r="F14" s="197">
        <v>28</v>
      </c>
      <c r="G14" s="198">
        <f>27</f>
        <v>27</v>
      </c>
      <c r="H14" s="197">
        <v>2</v>
      </c>
      <c r="I14" s="198">
        <f>7</f>
        <v>7</v>
      </c>
      <c r="J14" s="197">
        <v>25</v>
      </c>
      <c r="K14" s="198">
        <f>9</f>
        <v>9</v>
      </c>
      <c r="L14" s="197">
        <v>5</v>
      </c>
      <c r="M14" s="198">
        <f>2</f>
        <v>2</v>
      </c>
      <c r="N14" s="266">
        <v>45.880200000000002</v>
      </c>
      <c r="O14" s="295">
        <f>49.41437+0.60189</f>
        <v>50.016259999999996</v>
      </c>
      <c r="P14" s="193">
        <f t="shared" si="3"/>
        <v>96</v>
      </c>
      <c r="Q14" s="194">
        <f t="shared" si="4"/>
        <v>89</v>
      </c>
    </row>
    <row r="15" spans="1:17" ht="26.25" customHeight="1" x14ac:dyDescent="0.2">
      <c r="A15" s="294" t="s">
        <v>232</v>
      </c>
      <c r="B15" s="197">
        <f>22</f>
        <v>22</v>
      </c>
      <c r="C15" s="198">
        <f>23</f>
        <v>23</v>
      </c>
      <c r="D15" s="197">
        <f>15+2</f>
        <v>17</v>
      </c>
      <c r="E15" s="198">
        <f>14+3</f>
        <v>17</v>
      </c>
      <c r="F15" s="197">
        <f>22</f>
        <v>22</v>
      </c>
      <c r="G15" s="198">
        <f>22</f>
        <v>22</v>
      </c>
      <c r="H15" s="197">
        <f>10</f>
        <v>10</v>
      </c>
      <c r="I15" s="198">
        <f>6+1</f>
        <v>7</v>
      </c>
      <c r="J15" s="197">
        <f>17</f>
        <v>17</v>
      </c>
      <c r="K15" s="198">
        <f>14</f>
        <v>14</v>
      </c>
      <c r="L15" s="197"/>
      <c r="M15" s="198">
        <f>1</f>
        <v>1</v>
      </c>
      <c r="N15" s="266">
        <f>41.66382+0.96233</f>
        <v>42.626150000000003</v>
      </c>
      <c r="O15" s="295">
        <f>44.52965+2.70148</f>
        <v>47.231129999999993</v>
      </c>
      <c r="P15" s="197">
        <f t="shared" ref="P15" si="5">SUM(B15,D15,F15,H15,J15,L15)</f>
        <v>88</v>
      </c>
      <c r="Q15" s="198">
        <f t="shared" ref="Q15" si="6">SUM(C15,E15,G15,I15,K15,M15)</f>
        <v>84</v>
      </c>
    </row>
    <row r="16" spans="1:17" ht="26.25" customHeight="1" x14ac:dyDescent="0.2">
      <c r="A16" s="106" t="s">
        <v>123</v>
      </c>
      <c r="B16" s="201">
        <f t="shared" ref="B16:Q16" si="7">SUM(B4:B15)</f>
        <v>258</v>
      </c>
      <c r="C16" s="93">
        <f t="shared" si="7"/>
        <v>237</v>
      </c>
      <c r="D16" s="201">
        <f t="shared" si="7"/>
        <v>256</v>
      </c>
      <c r="E16" s="93">
        <f t="shared" si="7"/>
        <v>257</v>
      </c>
      <c r="F16" s="201">
        <f t="shared" si="7"/>
        <v>311</v>
      </c>
      <c r="G16" s="93">
        <f t="shared" si="7"/>
        <v>339</v>
      </c>
      <c r="H16" s="201">
        <f t="shared" si="7"/>
        <v>105</v>
      </c>
      <c r="I16" s="93">
        <f t="shared" si="7"/>
        <v>92</v>
      </c>
      <c r="J16" s="201">
        <f t="shared" si="7"/>
        <v>194</v>
      </c>
      <c r="K16" s="93">
        <f t="shared" si="7"/>
        <v>194</v>
      </c>
      <c r="L16" s="201">
        <f t="shared" si="7"/>
        <v>22</v>
      </c>
      <c r="M16" s="93">
        <f t="shared" si="7"/>
        <v>29</v>
      </c>
      <c r="N16" s="202">
        <f t="shared" si="7"/>
        <v>583.36713000000009</v>
      </c>
      <c r="O16" s="203">
        <f t="shared" si="7"/>
        <v>609.33673999999996</v>
      </c>
      <c r="P16" s="201">
        <f t="shared" si="7"/>
        <v>1146</v>
      </c>
      <c r="Q16" s="93">
        <f t="shared" si="7"/>
        <v>1148</v>
      </c>
    </row>
    <row r="17" spans="2:15" ht="26.25" customHeight="1" x14ac:dyDescent="0.2">
      <c r="B17" s="300"/>
      <c r="C17" s="300"/>
      <c r="D17" s="300"/>
      <c r="E17" s="300"/>
      <c r="F17" s="300"/>
      <c r="G17" s="300"/>
      <c r="H17" s="300"/>
      <c r="I17" s="300"/>
      <c r="J17" s="300"/>
      <c r="K17" s="300"/>
      <c r="L17" s="300"/>
      <c r="M17" s="300"/>
      <c r="N17" s="301"/>
      <c r="O17" s="301"/>
    </row>
  </sheetData>
  <mergeCells count="10">
    <mergeCell ref="A1:A3"/>
    <mergeCell ref="B1:M1"/>
    <mergeCell ref="N1:O2"/>
    <mergeCell ref="P1:Q2"/>
    <mergeCell ref="B2:C2"/>
    <mergeCell ref="D2:E2"/>
    <mergeCell ref="F2:G2"/>
    <mergeCell ref="H2:I2"/>
    <mergeCell ref="J2:K2"/>
    <mergeCell ref="L2:M2"/>
  </mergeCells>
  <conditionalFormatting sqref="R1:JD65540 B12:Q12 A1:A65540 N3:Q65540 B2:M65540">
    <cfRule type="cellIs" dxfId="27" priority="18" stopIfTrue="1" operator="equal">
      <formula>0</formula>
    </cfRule>
  </conditionalFormatting>
  <conditionalFormatting sqref="B9:Q15">
    <cfRule type="cellIs" dxfId="26" priority="9" stopIfTrue="1" operator="equal">
      <formula>0</formula>
    </cfRule>
  </conditionalFormatting>
  <conditionalFormatting sqref="B9:B15">
    <cfRule type="cellIs" dxfId="25" priority="8" stopIfTrue="1" operator="equal">
      <formula>0</formula>
    </cfRule>
  </conditionalFormatting>
  <conditionalFormatting sqref="D9:D15">
    <cfRule type="cellIs" dxfId="24" priority="7" stopIfTrue="1" operator="equal">
      <formula>0</formula>
    </cfRule>
  </conditionalFormatting>
  <conditionalFormatting sqref="F9:F15">
    <cfRule type="cellIs" dxfId="23" priority="6" stopIfTrue="1" operator="equal">
      <formula>0</formula>
    </cfRule>
  </conditionalFormatting>
  <conditionalFormatting sqref="H9:H15">
    <cfRule type="cellIs" dxfId="22" priority="5" stopIfTrue="1" operator="equal">
      <formula>0</formula>
    </cfRule>
  </conditionalFormatting>
  <conditionalFormatting sqref="J9:J15">
    <cfRule type="cellIs" dxfId="21" priority="4" stopIfTrue="1" operator="equal">
      <formula>0</formula>
    </cfRule>
  </conditionalFormatting>
  <conditionalFormatting sqref="L9:L15">
    <cfRule type="cellIs" dxfId="20" priority="3" stopIfTrue="1" operator="equal">
      <formula>0</formula>
    </cfRule>
  </conditionalFormatting>
  <conditionalFormatting sqref="N9:N15">
    <cfRule type="cellIs" dxfId="19" priority="2" stopIfTrue="1" operator="equal">
      <formula>0</formula>
    </cfRule>
  </conditionalFormatting>
  <conditionalFormatting sqref="N9:N15">
    <cfRule type="cellIs" dxfId="18" priority="1" stopIfTrue="1" operator="equal">
      <formula>0</formula>
    </cfRule>
  </conditionalFormatting>
  <printOptions horizontalCentered="1"/>
  <pageMargins left="0" right="0" top="1.3779527559055118" bottom="0.98425196850393704" header="0.51181102362204722" footer="0.51181102362204722"/>
  <pageSetup paperSize="9" scale="97" orientation="landscape" r:id="rId1"/>
  <headerFooter alignWithMargins="0">
    <oddHeader>&amp;CEgynapos Sebészeti ellátás teljesítménye 2014. év&amp;R3.sz. melléklet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opLeftCell="A6" zoomScaleNormal="100" workbookViewId="0">
      <selection activeCell="C19" sqref="C19"/>
    </sheetView>
  </sheetViews>
  <sheetFormatPr defaultRowHeight="27" customHeight="1" x14ac:dyDescent="0.2"/>
  <cols>
    <col min="1" max="8" width="13.7109375" style="147" customWidth="1"/>
    <col min="9" max="256" width="9.140625" style="147"/>
    <col min="257" max="264" width="13.7109375" style="147" customWidth="1"/>
    <col min="265" max="512" width="9.140625" style="147"/>
    <col min="513" max="520" width="13.7109375" style="147" customWidth="1"/>
    <col min="521" max="768" width="9.140625" style="147"/>
    <col min="769" max="776" width="13.7109375" style="147" customWidth="1"/>
    <col min="777" max="1024" width="9.140625" style="147"/>
    <col min="1025" max="1032" width="13.7109375" style="147" customWidth="1"/>
    <col min="1033" max="1280" width="9.140625" style="147"/>
    <col min="1281" max="1288" width="13.7109375" style="147" customWidth="1"/>
    <col min="1289" max="1536" width="9.140625" style="147"/>
    <col min="1537" max="1544" width="13.7109375" style="147" customWidth="1"/>
    <col min="1545" max="1792" width="9.140625" style="147"/>
    <col min="1793" max="1800" width="13.7109375" style="147" customWidth="1"/>
    <col min="1801" max="2048" width="9.140625" style="147"/>
    <col min="2049" max="2056" width="13.7109375" style="147" customWidth="1"/>
    <col min="2057" max="2304" width="9.140625" style="147"/>
    <col min="2305" max="2312" width="13.7109375" style="147" customWidth="1"/>
    <col min="2313" max="2560" width="9.140625" style="147"/>
    <col min="2561" max="2568" width="13.7109375" style="147" customWidth="1"/>
    <col min="2569" max="2816" width="9.140625" style="147"/>
    <col min="2817" max="2824" width="13.7109375" style="147" customWidth="1"/>
    <col min="2825" max="3072" width="9.140625" style="147"/>
    <col min="3073" max="3080" width="13.7109375" style="147" customWidth="1"/>
    <col min="3081" max="3328" width="9.140625" style="147"/>
    <col min="3329" max="3336" width="13.7109375" style="147" customWidth="1"/>
    <col min="3337" max="3584" width="9.140625" style="147"/>
    <col min="3585" max="3592" width="13.7109375" style="147" customWidth="1"/>
    <col min="3593" max="3840" width="9.140625" style="147"/>
    <col min="3841" max="3848" width="13.7109375" style="147" customWidth="1"/>
    <col min="3849" max="4096" width="9.140625" style="147"/>
    <col min="4097" max="4104" width="13.7109375" style="147" customWidth="1"/>
    <col min="4105" max="4352" width="9.140625" style="147"/>
    <col min="4353" max="4360" width="13.7109375" style="147" customWidth="1"/>
    <col min="4361" max="4608" width="9.140625" style="147"/>
    <col min="4609" max="4616" width="13.7109375" style="147" customWidth="1"/>
    <col min="4617" max="4864" width="9.140625" style="147"/>
    <col min="4865" max="4872" width="13.7109375" style="147" customWidth="1"/>
    <col min="4873" max="5120" width="9.140625" style="147"/>
    <col min="5121" max="5128" width="13.7109375" style="147" customWidth="1"/>
    <col min="5129" max="5376" width="9.140625" style="147"/>
    <col min="5377" max="5384" width="13.7109375" style="147" customWidth="1"/>
    <col min="5385" max="5632" width="9.140625" style="147"/>
    <col min="5633" max="5640" width="13.7109375" style="147" customWidth="1"/>
    <col min="5641" max="5888" width="9.140625" style="147"/>
    <col min="5889" max="5896" width="13.7109375" style="147" customWidth="1"/>
    <col min="5897" max="6144" width="9.140625" style="147"/>
    <col min="6145" max="6152" width="13.7109375" style="147" customWidth="1"/>
    <col min="6153" max="6400" width="9.140625" style="147"/>
    <col min="6401" max="6408" width="13.7109375" style="147" customWidth="1"/>
    <col min="6409" max="6656" width="9.140625" style="147"/>
    <col min="6657" max="6664" width="13.7109375" style="147" customWidth="1"/>
    <col min="6665" max="6912" width="9.140625" style="147"/>
    <col min="6913" max="6920" width="13.7109375" style="147" customWidth="1"/>
    <col min="6921" max="7168" width="9.140625" style="147"/>
    <col min="7169" max="7176" width="13.7109375" style="147" customWidth="1"/>
    <col min="7177" max="7424" width="9.140625" style="147"/>
    <col min="7425" max="7432" width="13.7109375" style="147" customWidth="1"/>
    <col min="7433" max="7680" width="9.140625" style="147"/>
    <col min="7681" max="7688" width="13.7109375" style="147" customWidth="1"/>
    <col min="7689" max="7936" width="9.140625" style="147"/>
    <col min="7937" max="7944" width="13.7109375" style="147" customWidth="1"/>
    <col min="7945" max="8192" width="9.140625" style="147"/>
    <col min="8193" max="8200" width="13.7109375" style="147" customWidth="1"/>
    <col min="8201" max="8448" width="9.140625" style="147"/>
    <col min="8449" max="8456" width="13.7109375" style="147" customWidth="1"/>
    <col min="8457" max="8704" width="9.140625" style="147"/>
    <col min="8705" max="8712" width="13.7109375" style="147" customWidth="1"/>
    <col min="8713" max="8960" width="9.140625" style="147"/>
    <col min="8961" max="8968" width="13.7109375" style="147" customWidth="1"/>
    <col min="8969" max="9216" width="9.140625" style="147"/>
    <col min="9217" max="9224" width="13.7109375" style="147" customWidth="1"/>
    <col min="9225" max="9472" width="9.140625" style="147"/>
    <col min="9473" max="9480" width="13.7109375" style="147" customWidth="1"/>
    <col min="9481" max="9728" width="9.140625" style="147"/>
    <col min="9729" max="9736" width="13.7109375" style="147" customWidth="1"/>
    <col min="9737" max="9984" width="9.140625" style="147"/>
    <col min="9985" max="9992" width="13.7109375" style="147" customWidth="1"/>
    <col min="9993" max="10240" width="9.140625" style="147"/>
    <col min="10241" max="10248" width="13.7109375" style="147" customWidth="1"/>
    <col min="10249" max="10496" width="9.140625" style="147"/>
    <col min="10497" max="10504" width="13.7109375" style="147" customWidth="1"/>
    <col min="10505" max="10752" width="9.140625" style="147"/>
    <col min="10753" max="10760" width="13.7109375" style="147" customWidth="1"/>
    <col min="10761" max="11008" width="9.140625" style="147"/>
    <col min="11009" max="11016" width="13.7109375" style="147" customWidth="1"/>
    <col min="11017" max="11264" width="9.140625" style="147"/>
    <col min="11265" max="11272" width="13.7109375" style="147" customWidth="1"/>
    <col min="11273" max="11520" width="9.140625" style="147"/>
    <col min="11521" max="11528" width="13.7109375" style="147" customWidth="1"/>
    <col min="11529" max="11776" width="9.140625" style="147"/>
    <col min="11777" max="11784" width="13.7109375" style="147" customWidth="1"/>
    <col min="11785" max="12032" width="9.140625" style="147"/>
    <col min="12033" max="12040" width="13.7109375" style="147" customWidth="1"/>
    <col min="12041" max="12288" width="9.140625" style="147"/>
    <col min="12289" max="12296" width="13.7109375" style="147" customWidth="1"/>
    <col min="12297" max="12544" width="9.140625" style="147"/>
    <col min="12545" max="12552" width="13.7109375" style="147" customWidth="1"/>
    <col min="12553" max="12800" width="9.140625" style="147"/>
    <col min="12801" max="12808" width="13.7109375" style="147" customWidth="1"/>
    <col min="12809" max="13056" width="9.140625" style="147"/>
    <col min="13057" max="13064" width="13.7109375" style="147" customWidth="1"/>
    <col min="13065" max="13312" width="9.140625" style="147"/>
    <col min="13313" max="13320" width="13.7109375" style="147" customWidth="1"/>
    <col min="13321" max="13568" width="9.140625" style="147"/>
    <col min="13569" max="13576" width="13.7109375" style="147" customWidth="1"/>
    <col min="13577" max="13824" width="9.140625" style="147"/>
    <col min="13825" max="13832" width="13.7109375" style="147" customWidth="1"/>
    <col min="13833" max="14080" width="9.140625" style="147"/>
    <col min="14081" max="14088" width="13.7109375" style="147" customWidth="1"/>
    <col min="14089" max="14336" width="9.140625" style="147"/>
    <col min="14337" max="14344" width="13.7109375" style="147" customWidth="1"/>
    <col min="14345" max="14592" width="9.140625" style="147"/>
    <col min="14593" max="14600" width="13.7109375" style="147" customWidth="1"/>
    <col min="14601" max="14848" width="9.140625" style="147"/>
    <col min="14849" max="14856" width="13.7109375" style="147" customWidth="1"/>
    <col min="14857" max="15104" width="9.140625" style="147"/>
    <col min="15105" max="15112" width="13.7109375" style="147" customWidth="1"/>
    <col min="15113" max="15360" width="9.140625" style="147"/>
    <col min="15361" max="15368" width="13.7109375" style="147" customWidth="1"/>
    <col min="15369" max="15616" width="9.140625" style="147"/>
    <col min="15617" max="15624" width="13.7109375" style="147" customWidth="1"/>
    <col min="15625" max="15872" width="9.140625" style="147"/>
    <col min="15873" max="15880" width="13.7109375" style="147" customWidth="1"/>
    <col min="15881" max="16128" width="9.140625" style="147"/>
    <col min="16129" max="16136" width="13.7109375" style="147" customWidth="1"/>
    <col min="16137" max="16384" width="9.140625" style="147"/>
  </cols>
  <sheetData>
    <row r="1" spans="1:8" s="204" customFormat="1" ht="27" customHeight="1" x14ac:dyDescent="0.2">
      <c r="A1" s="538"/>
      <c r="B1" s="538" t="s">
        <v>205</v>
      </c>
      <c r="C1" s="538" t="s">
        <v>206</v>
      </c>
      <c r="D1" s="538"/>
      <c r="E1" s="538"/>
      <c r="F1" s="538" t="s">
        <v>207</v>
      </c>
      <c r="G1" s="538" t="s">
        <v>158</v>
      </c>
      <c r="H1" s="538"/>
    </row>
    <row r="2" spans="1:8" s="204" customFormat="1" ht="27" customHeight="1" x14ac:dyDescent="0.2">
      <c r="A2" s="538"/>
      <c r="B2" s="538"/>
      <c r="C2" s="105" t="s">
        <v>159</v>
      </c>
      <c r="D2" s="105" t="s">
        <v>160</v>
      </c>
      <c r="E2" s="105" t="s">
        <v>123</v>
      </c>
      <c r="F2" s="538"/>
      <c r="G2" s="105" t="s">
        <v>159</v>
      </c>
      <c r="H2" s="105" t="s">
        <v>161</v>
      </c>
    </row>
    <row r="3" spans="1:8" s="204" customFormat="1" ht="27" customHeight="1" x14ac:dyDescent="0.2">
      <c r="A3" s="205" t="s">
        <v>162</v>
      </c>
      <c r="B3" s="159">
        <v>39957678</v>
      </c>
      <c r="C3" s="206">
        <v>42393496</v>
      </c>
      <c r="D3" s="206">
        <v>21564</v>
      </c>
      <c r="E3" s="206">
        <f t="shared" ref="E3:E4" si="0">SUM(C3:D3)</f>
        <v>42415060</v>
      </c>
      <c r="F3" s="159">
        <v>42433284</v>
      </c>
      <c r="G3" s="159">
        <f>E3-B3</f>
        <v>2457382</v>
      </c>
      <c r="H3" s="159">
        <f>G3</f>
        <v>2457382</v>
      </c>
    </row>
    <row r="4" spans="1:8" s="204" customFormat="1" ht="27" customHeight="1" x14ac:dyDescent="0.2">
      <c r="A4" s="205" t="s">
        <v>163</v>
      </c>
      <c r="B4" s="159">
        <v>39957678</v>
      </c>
      <c r="C4" s="206">
        <v>32103833</v>
      </c>
      <c r="D4" s="206">
        <v>7780</v>
      </c>
      <c r="E4" s="206">
        <f t="shared" si="0"/>
        <v>32111613</v>
      </c>
      <c r="F4" s="66">
        <v>32345713</v>
      </c>
      <c r="G4" s="159">
        <f>E4-B4</f>
        <v>-7846065</v>
      </c>
      <c r="H4" s="159">
        <f t="shared" ref="H4:H13" si="1">G4+H3</f>
        <v>-5388683</v>
      </c>
    </row>
    <row r="5" spans="1:8" ht="27" customHeight="1" x14ac:dyDescent="0.2">
      <c r="A5" s="2" t="s">
        <v>164</v>
      </c>
      <c r="B5" s="159">
        <v>41955562</v>
      </c>
      <c r="C5" s="206">
        <v>45260966</v>
      </c>
      <c r="D5" s="206">
        <v>4648</v>
      </c>
      <c r="E5" s="206">
        <f t="shared" ref="E5:E16" si="2">SUM(C5:D5)</f>
        <v>45265614</v>
      </c>
      <c r="F5" s="66">
        <v>45527384</v>
      </c>
      <c r="G5" s="159">
        <f t="shared" ref="G5:G13" si="3">E5-B5</f>
        <v>3310052</v>
      </c>
      <c r="H5" s="159">
        <f t="shared" si="1"/>
        <v>-2078631</v>
      </c>
    </row>
    <row r="6" spans="1:8" ht="27" customHeight="1" x14ac:dyDescent="0.2">
      <c r="A6" s="2" t="s">
        <v>165</v>
      </c>
      <c r="B6" s="159">
        <v>39957678</v>
      </c>
      <c r="C6" s="206">
        <v>43855457</v>
      </c>
      <c r="D6" s="206">
        <v>11171</v>
      </c>
      <c r="E6" s="206">
        <f t="shared" si="2"/>
        <v>43866628</v>
      </c>
      <c r="F6" s="66">
        <v>44125481</v>
      </c>
      <c r="G6" s="159">
        <f>E6-B6</f>
        <v>3908950</v>
      </c>
      <c r="H6" s="159">
        <f t="shared" si="1"/>
        <v>1830319</v>
      </c>
    </row>
    <row r="7" spans="1:8" ht="27" customHeight="1" x14ac:dyDescent="0.2">
      <c r="A7" s="2" t="s">
        <v>166</v>
      </c>
      <c r="B7" s="159">
        <v>41955562</v>
      </c>
      <c r="C7" s="206">
        <v>45477804</v>
      </c>
      <c r="D7" s="206">
        <v>40610</v>
      </c>
      <c r="E7" s="206">
        <f t="shared" si="2"/>
        <v>45518414</v>
      </c>
      <c r="F7" s="66">
        <v>45389298</v>
      </c>
      <c r="G7" s="159">
        <f>E7-B7</f>
        <v>3562852</v>
      </c>
      <c r="H7" s="159">
        <f t="shared" si="1"/>
        <v>5393171</v>
      </c>
    </row>
    <row r="8" spans="1:8" ht="27" customHeight="1" x14ac:dyDescent="0.2">
      <c r="A8" s="2" t="s">
        <v>167</v>
      </c>
      <c r="B8" s="159">
        <v>40957678</v>
      </c>
      <c r="C8" s="206">
        <v>44176890</v>
      </c>
      <c r="D8" s="206">
        <v>10602</v>
      </c>
      <c r="E8" s="206">
        <f t="shared" si="2"/>
        <v>44187492</v>
      </c>
      <c r="F8" s="66">
        <v>44222800</v>
      </c>
      <c r="G8" s="159">
        <f t="shared" si="3"/>
        <v>3229814</v>
      </c>
      <c r="H8" s="159">
        <f t="shared" si="1"/>
        <v>8622985</v>
      </c>
    </row>
    <row r="9" spans="1:8" ht="27" customHeight="1" x14ac:dyDescent="0.2">
      <c r="A9" s="2" t="s">
        <v>168</v>
      </c>
      <c r="B9" s="159">
        <v>41955562</v>
      </c>
      <c r="C9" s="206">
        <v>42235612</v>
      </c>
      <c r="D9" s="206">
        <v>9801</v>
      </c>
      <c r="E9" s="206">
        <f t="shared" si="2"/>
        <v>42245413</v>
      </c>
      <c r="F9" s="66">
        <v>42272983</v>
      </c>
      <c r="G9" s="159">
        <f t="shared" si="3"/>
        <v>289851</v>
      </c>
      <c r="H9" s="159">
        <f t="shared" si="1"/>
        <v>8912836</v>
      </c>
    </row>
    <row r="10" spans="1:8" ht="27" customHeight="1" x14ac:dyDescent="0.2">
      <c r="A10" s="2" t="s">
        <v>169</v>
      </c>
      <c r="B10" s="159">
        <v>36961910</v>
      </c>
      <c r="C10" s="206">
        <v>40001571</v>
      </c>
      <c r="D10" s="206">
        <v>30737</v>
      </c>
      <c r="E10" s="206">
        <f t="shared" si="2"/>
        <v>40032308</v>
      </c>
      <c r="F10" s="159">
        <v>40183475</v>
      </c>
      <c r="G10" s="159">
        <f t="shared" si="3"/>
        <v>3070398</v>
      </c>
      <c r="H10" s="159">
        <f t="shared" si="1"/>
        <v>11983234</v>
      </c>
    </row>
    <row r="11" spans="1:8" ht="27" customHeight="1" x14ac:dyDescent="0.2">
      <c r="A11" s="2" t="s">
        <v>170</v>
      </c>
      <c r="B11" s="159">
        <v>35961910</v>
      </c>
      <c r="C11" s="159">
        <v>34853992</v>
      </c>
      <c r="D11" s="159">
        <v>3871</v>
      </c>
      <c r="E11" s="206">
        <f t="shared" si="2"/>
        <v>34857863</v>
      </c>
      <c r="F11" s="159">
        <v>35219203</v>
      </c>
      <c r="G11" s="159">
        <f t="shared" si="3"/>
        <v>-1104047</v>
      </c>
      <c r="H11" s="159">
        <f t="shared" si="1"/>
        <v>10879187</v>
      </c>
    </row>
    <row r="12" spans="1:8" ht="27" customHeight="1" x14ac:dyDescent="0.2">
      <c r="A12" s="2" t="s">
        <v>171</v>
      </c>
      <c r="B12" s="159">
        <v>35961910</v>
      </c>
      <c r="C12" s="159">
        <v>29370167</v>
      </c>
      <c r="D12" s="159">
        <v>14206</v>
      </c>
      <c r="E12" s="206">
        <f t="shared" si="2"/>
        <v>29384373</v>
      </c>
      <c r="F12" s="159">
        <v>29691280</v>
      </c>
      <c r="G12" s="159">
        <f t="shared" si="3"/>
        <v>-6577537</v>
      </c>
      <c r="H12" s="159">
        <f t="shared" si="1"/>
        <v>4301650</v>
      </c>
    </row>
    <row r="13" spans="1:8" ht="27" customHeight="1" x14ac:dyDescent="0.2">
      <c r="A13" s="2" t="s">
        <v>172</v>
      </c>
      <c r="B13" s="159">
        <v>41955562</v>
      </c>
      <c r="C13" s="159">
        <v>42592216</v>
      </c>
      <c r="D13" s="159">
        <v>11209</v>
      </c>
      <c r="E13" s="206">
        <f t="shared" si="2"/>
        <v>42603425</v>
      </c>
      <c r="F13" s="159">
        <v>42379020</v>
      </c>
      <c r="G13" s="159">
        <f t="shared" si="3"/>
        <v>647863</v>
      </c>
      <c r="H13" s="159">
        <f t="shared" si="1"/>
        <v>4949513</v>
      </c>
    </row>
    <row r="14" spans="1:8" ht="27" customHeight="1" x14ac:dyDescent="0.2">
      <c r="A14" s="2" t="s">
        <v>173</v>
      </c>
      <c r="B14" s="159">
        <v>41953446</v>
      </c>
      <c r="C14" s="159">
        <v>41399565</v>
      </c>
      <c r="D14" s="159">
        <v>13002</v>
      </c>
      <c r="E14" s="206">
        <f t="shared" si="2"/>
        <v>41412567</v>
      </c>
      <c r="F14" s="159">
        <v>41477951</v>
      </c>
      <c r="G14" s="159">
        <f t="shared" ref="G14:G16" si="4">E14-B14</f>
        <v>-540879</v>
      </c>
      <c r="H14" s="159">
        <f t="shared" ref="H14:H16" si="5">G14+H13</f>
        <v>4408634</v>
      </c>
    </row>
    <row r="15" spans="1:8" ht="27" customHeight="1" x14ac:dyDescent="0.2">
      <c r="A15" s="2" t="s">
        <v>162</v>
      </c>
      <c r="B15" s="159">
        <v>39957678</v>
      </c>
      <c r="C15" s="159">
        <v>40334323</v>
      </c>
      <c r="D15" s="159">
        <v>16639</v>
      </c>
      <c r="E15" s="206">
        <f t="shared" si="2"/>
        <v>40350962</v>
      </c>
      <c r="F15" s="159">
        <v>40476842</v>
      </c>
      <c r="G15" s="159">
        <f t="shared" si="4"/>
        <v>393284</v>
      </c>
      <c r="H15" s="159">
        <f t="shared" si="5"/>
        <v>4801918</v>
      </c>
    </row>
    <row r="16" spans="1:8" ht="27" customHeight="1" x14ac:dyDescent="0.2">
      <c r="A16" s="2" t="s">
        <v>163</v>
      </c>
      <c r="B16" s="159">
        <v>39957678</v>
      </c>
      <c r="C16" s="159">
        <v>32965122</v>
      </c>
      <c r="D16" s="159">
        <v>2116</v>
      </c>
      <c r="E16" s="206">
        <f t="shared" si="2"/>
        <v>32967238</v>
      </c>
      <c r="F16" s="159">
        <v>33287614</v>
      </c>
      <c r="G16" s="159">
        <f t="shared" si="4"/>
        <v>-6990440</v>
      </c>
      <c r="H16" s="159">
        <f t="shared" si="5"/>
        <v>-2188522</v>
      </c>
    </row>
    <row r="17" spans="1:8" s="209" customFormat="1" ht="27" customHeight="1" x14ac:dyDescent="0.2">
      <c r="A17" s="207" t="s">
        <v>123</v>
      </c>
      <c r="B17" s="208">
        <f>SUM(B3:B16)</f>
        <v>559407492</v>
      </c>
      <c r="C17" s="208">
        <f t="shared" ref="C17:G17" si="6">SUM(C3:C16)</f>
        <v>557021014</v>
      </c>
      <c r="D17" s="208">
        <f t="shared" si="6"/>
        <v>197956</v>
      </c>
      <c r="E17" s="208">
        <f t="shared" si="6"/>
        <v>557218970</v>
      </c>
      <c r="F17" s="208">
        <f t="shared" si="6"/>
        <v>559032328</v>
      </c>
      <c r="G17" s="208">
        <f t="shared" si="6"/>
        <v>-2188522</v>
      </c>
      <c r="H17" s="208"/>
    </row>
    <row r="24" spans="1:8" ht="27" customHeight="1" x14ac:dyDescent="0.2">
      <c r="D24" s="210"/>
    </row>
  </sheetData>
  <mergeCells count="5">
    <mergeCell ref="A1:A2"/>
    <mergeCell ref="B1:B2"/>
    <mergeCell ref="C1:E1"/>
    <mergeCell ref="F1:F2"/>
    <mergeCell ref="G1:H1"/>
  </mergeCells>
  <conditionalFormatting sqref="A1:IV65538">
    <cfRule type="cellIs" dxfId="17" priority="11" stopIfTrue="1" operator="equal">
      <formula>0</formula>
    </cfRule>
  </conditionalFormatting>
  <conditionalFormatting sqref="C3:E4">
    <cfRule type="cellIs" dxfId="16" priority="10" stopIfTrue="1" operator="equal">
      <formula>0</formula>
    </cfRule>
  </conditionalFormatting>
  <conditionalFormatting sqref="C3:D4">
    <cfRule type="cellIs" dxfId="15" priority="9" stopIfTrue="1" operator="equal">
      <formula>0</formula>
    </cfRule>
  </conditionalFormatting>
  <conditionalFormatting sqref="F3">
    <cfRule type="cellIs" dxfId="14" priority="8" stopIfTrue="1" operator="equal">
      <formula>0</formula>
    </cfRule>
  </conditionalFormatting>
  <conditionalFormatting sqref="F4">
    <cfRule type="cellIs" dxfId="13" priority="7" stopIfTrue="1" operator="equal">
      <formula>0</formula>
    </cfRule>
  </conditionalFormatting>
  <conditionalFormatting sqref="F5">
    <cfRule type="cellIs" dxfId="12" priority="6" stopIfTrue="1" operator="equal">
      <formula>0</formula>
    </cfRule>
  </conditionalFormatting>
  <conditionalFormatting sqref="F6">
    <cfRule type="cellIs" dxfId="11" priority="5" stopIfTrue="1" operator="equal">
      <formula>0</formula>
    </cfRule>
  </conditionalFormatting>
  <conditionalFormatting sqref="F7">
    <cfRule type="cellIs" dxfId="10" priority="4" stopIfTrue="1" operator="equal">
      <formula>0</formula>
    </cfRule>
  </conditionalFormatting>
  <conditionalFormatting sqref="F8">
    <cfRule type="cellIs" dxfId="9" priority="3" stopIfTrue="1" operator="equal">
      <formula>0</formula>
    </cfRule>
  </conditionalFormatting>
  <conditionalFormatting sqref="F9">
    <cfRule type="cellIs" dxfId="8" priority="2" stopIfTrue="1" operator="equal">
      <formula>0</formula>
    </cfRule>
  </conditionalFormatting>
  <conditionalFormatting sqref="C5:E10 E11:E16">
    <cfRule type="cellIs" dxfId="7" priority="1" stopIfTrue="1" operator="equal">
      <formula>0</formula>
    </cfRule>
  </conditionalFormatting>
  <printOptions horizontalCentered="1" verticalCentere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>
    <oddHeader>&amp;C&amp;"Arial CE,Félkövér"&amp;12Az OEP által előírt teljesítmény volumen korlát (TVK) teljesítése 2014. évben&amp;R4. sz.melléklet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6"/>
  <sheetViews>
    <sheetView topLeftCell="C3" zoomScale="80" zoomScaleNormal="80" workbookViewId="0">
      <selection activeCell="Q6" sqref="Q6"/>
    </sheetView>
  </sheetViews>
  <sheetFormatPr defaultRowHeight="21" customHeight="1" x14ac:dyDescent="0.2"/>
  <cols>
    <col min="1" max="1" width="3.140625" style="3" customWidth="1"/>
    <col min="2" max="2" width="38.140625" style="8" customWidth="1"/>
    <col min="3" max="5" width="9.5703125" style="8" customWidth="1"/>
    <col min="6" max="8" width="9.7109375" style="8" customWidth="1"/>
    <col min="9" max="11" width="9.7109375" style="73" customWidth="1"/>
    <col min="12" max="14" width="8.85546875" style="8" customWidth="1"/>
    <col min="15" max="16" width="9.140625" style="8" hidden="1" customWidth="1"/>
    <col min="17" max="16384" width="9.140625" style="8"/>
  </cols>
  <sheetData>
    <row r="1" spans="1:16" s="3" customFormat="1" ht="41.25" customHeight="1" x14ac:dyDescent="0.2">
      <c r="A1" s="539" t="s">
        <v>0</v>
      </c>
      <c r="B1" s="540"/>
      <c r="C1" s="545" t="s">
        <v>225</v>
      </c>
      <c r="D1" s="546"/>
      <c r="E1" s="547"/>
      <c r="F1" s="535" t="s">
        <v>204</v>
      </c>
      <c r="G1" s="535"/>
      <c r="H1" s="536"/>
      <c r="I1" s="543" t="s">
        <v>226</v>
      </c>
      <c r="J1" s="543"/>
      <c r="K1" s="543"/>
      <c r="L1" s="544" t="s">
        <v>228</v>
      </c>
      <c r="M1" s="535"/>
      <c r="N1" s="536"/>
    </row>
    <row r="2" spans="1:16" ht="21" customHeight="1" x14ac:dyDescent="0.2">
      <c r="A2" s="541"/>
      <c r="B2" s="542"/>
      <c r="C2" s="227" t="s">
        <v>1</v>
      </c>
      <c r="D2" s="81" t="s">
        <v>2</v>
      </c>
      <c r="E2" s="7" t="s">
        <v>81</v>
      </c>
      <c r="F2" s="222" t="s">
        <v>1</v>
      </c>
      <c r="G2" s="6" t="s">
        <v>2</v>
      </c>
      <c r="H2" s="7" t="s">
        <v>81</v>
      </c>
      <c r="I2" s="93" t="s">
        <v>1</v>
      </c>
      <c r="J2" s="81" t="s">
        <v>2</v>
      </c>
      <c r="K2" s="7" t="s">
        <v>81</v>
      </c>
      <c r="L2" s="5" t="s">
        <v>1</v>
      </c>
      <c r="M2" s="6" t="s">
        <v>2</v>
      </c>
      <c r="N2" s="7" t="s">
        <v>81</v>
      </c>
    </row>
    <row r="3" spans="1:16" ht="21" customHeight="1" x14ac:dyDescent="0.2">
      <c r="A3" s="4">
        <v>1</v>
      </c>
      <c r="B3" s="9" t="s">
        <v>4</v>
      </c>
      <c r="C3" s="57">
        <f>SUM(C4:C18)</f>
        <v>1414753</v>
      </c>
      <c r="D3" s="58">
        <f>SUM(D4:D18)</f>
        <v>30464</v>
      </c>
      <c r="E3" s="12">
        <f t="shared" ref="E3:E18" si="0">SUM(C3:D3)</f>
        <v>1445217</v>
      </c>
      <c r="F3" s="223">
        <f>SUM(F4:F17)</f>
        <v>1437640</v>
      </c>
      <c r="G3" s="11">
        <f>SUM(G4:G17)</f>
        <v>45800</v>
      </c>
      <c r="H3" s="12">
        <f t="shared" ref="H3:H22" si="1">SUM(F3:G3)</f>
        <v>1483440</v>
      </c>
      <c r="I3" s="267">
        <f>SUM(I4:I17)</f>
        <v>1438719</v>
      </c>
      <c r="J3" s="268">
        <f>SUM(J4:J17)</f>
        <v>37487</v>
      </c>
      <c r="K3" s="269">
        <f t="shared" ref="K3:K22" si="2">SUM(I3:J3)</f>
        <v>1476206</v>
      </c>
      <c r="L3" s="14">
        <f t="shared" ref="L3:N7" si="3">I3/F3</f>
        <v>1.000750535600011</v>
      </c>
      <c r="M3" s="15">
        <f t="shared" si="3"/>
        <v>0.81849344978165939</v>
      </c>
      <c r="N3" s="16">
        <f t="shared" si="3"/>
        <v>0.99512349673731326</v>
      </c>
      <c r="O3" s="8">
        <v>2013</v>
      </c>
      <c r="P3" s="8" t="s">
        <v>234</v>
      </c>
    </row>
    <row r="4" spans="1:16" ht="21" customHeight="1" x14ac:dyDescent="0.2">
      <c r="A4" s="4"/>
      <c r="B4" s="17" t="s">
        <v>5</v>
      </c>
      <c r="C4" s="67">
        <v>724987</v>
      </c>
      <c r="D4" s="66">
        <v>5566</v>
      </c>
      <c r="E4" s="94">
        <f t="shared" si="0"/>
        <v>730553</v>
      </c>
      <c r="F4" s="224">
        <v>753700</v>
      </c>
      <c r="G4" s="18">
        <v>12000</v>
      </c>
      <c r="H4" s="19">
        <f t="shared" si="1"/>
        <v>765700</v>
      </c>
      <c r="I4" s="68">
        <v>716035</v>
      </c>
      <c r="J4" s="66">
        <v>5728</v>
      </c>
      <c r="K4" s="272">
        <f t="shared" si="2"/>
        <v>721763</v>
      </c>
      <c r="L4" s="20">
        <f t="shared" si="3"/>
        <v>0.95002653575693252</v>
      </c>
      <c r="M4" s="21">
        <f t="shared" si="3"/>
        <v>0.47733333333333333</v>
      </c>
      <c r="N4" s="22">
        <f t="shared" si="3"/>
        <v>0.94261851900222016</v>
      </c>
      <c r="O4" s="46">
        <f>I4-C4</f>
        <v>-8952</v>
      </c>
      <c r="P4" s="46">
        <f>I4-F4</f>
        <v>-37665</v>
      </c>
    </row>
    <row r="5" spans="1:16" ht="21" customHeight="1" x14ac:dyDescent="0.2">
      <c r="A5" s="4"/>
      <c r="B5" s="17" t="s">
        <v>43</v>
      </c>
      <c r="C5" s="67">
        <v>84206</v>
      </c>
      <c r="D5" s="66">
        <v>943</v>
      </c>
      <c r="E5" s="94">
        <f t="shared" si="0"/>
        <v>85149</v>
      </c>
      <c r="F5" s="224">
        <v>90000</v>
      </c>
      <c r="G5" s="18">
        <v>1800</v>
      </c>
      <c r="H5" s="19">
        <f t="shared" si="1"/>
        <v>91800</v>
      </c>
      <c r="I5" s="68">
        <v>88540</v>
      </c>
      <c r="J5" s="66">
        <v>1478</v>
      </c>
      <c r="K5" s="272">
        <f t="shared" si="2"/>
        <v>90018</v>
      </c>
      <c r="L5" s="20">
        <f>I5/F5</f>
        <v>0.98377777777777775</v>
      </c>
      <c r="M5" s="21">
        <f>J5/G5</f>
        <v>0.82111111111111112</v>
      </c>
      <c r="N5" s="22">
        <f>K5/H5</f>
        <v>0.98058823529411765</v>
      </c>
      <c r="O5" s="46">
        <f t="shared" ref="O5:O25" si="4">I5-C5</f>
        <v>4334</v>
      </c>
      <c r="P5" s="46">
        <f t="shared" ref="P5:P25" si="5">I5-F5</f>
        <v>-1460</v>
      </c>
    </row>
    <row r="6" spans="1:16" ht="21" customHeight="1" x14ac:dyDescent="0.2">
      <c r="A6" s="4"/>
      <c r="B6" s="17" t="s">
        <v>73</v>
      </c>
      <c r="C6" s="67"/>
      <c r="D6" s="66">
        <v>38</v>
      </c>
      <c r="E6" s="94">
        <f t="shared" si="0"/>
        <v>38</v>
      </c>
      <c r="F6" s="224"/>
      <c r="G6" s="18"/>
      <c r="H6" s="19">
        <f t="shared" si="1"/>
        <v>0</v>
      </c>
      <c r="I6" s="68"/>
      <c r="J6" s="66"/>
      <c r="K6" s="272">
        <f t="shared" si="2"/>
        <v>0</v>
      </c>
      <c r="L6" s="20"/>
      <c r="M6" s="21"/>
      <c r="N6" s="22"/>
      <c r="O6" s="46">
        <f t="shared" si="4"/>
        <v>0</v>
      </c>
      <c r="P6" s="46">
        <f t="shared" si="5"/>
        <v>0</v>
      </c>
    </row>
    <row r="7" spans="1:16" ht="21" customHeight="1" x14ac:dyDescent="0.2">
      <c r="A7" s="4"/>
      <c r="B7" s="17" t="s">
        <v>42</v>
      </c>
      <c r="C7" s="67">
        <v>149465</v>
      </c>
      <c r="D7" s="66">
        <v>401</v>
      </c>
      <c r="E7" s="94">
        <f t="shared" si="0"/>
        <v>149866</v>
      </c>
      <c r="F7" s="224">
        <v>150000</v>
      </c>
      <c r="G7" s="18">
        <v>2000</v>
      </c>
      <c r="H7" s="19">
        <f t="shared" si="1"/>
        <v>152000</v>
      </c>
      <c r="I7" s="68">
        <v>147934</v>
      </c>
      <c r="J7" s="66">
        <v>597</v>
      </c>
      <c r="K7" s="272">
        <f t="shared" si="2"/>
        <v>148531</v>
      </c>
      <c r="L7" s="20">
        <f t="shared" si="3"/>
        <v>0.9862266666666667</v>
      </c>
      <c r="M7" s="21">
        <f t="shared" si="3"/>
        <v>0.29849999999999999</v>
      </c>
      <c r="N7" s="22">
        <f t="shared" si="3"/>
        <v>0.97717763157894733</v>
      </c>
      <c r="O7" s="46">
        <f t="shared" si="4"/>
        <v>-1531</v>
      </c>
      <c r="P7" s="46">
        <f t="shared" si="5"/>
        <v>-2066</v>
      </c>
    </row>
    <row r="8" spans="1:16" ht="21" customHeight="1" x14ac:dyDescent="0.2">
      <c r="A8" s="4"/>
      <c r="B8" s="17" t="s">
        <v>6</v>
      </c>
      <c r="C8" s="67">
        <v>67805</v>
      </c>
      <c r="D8" s="66"/>
      <c r="E8" s="94">
        <f t="shared" si="0"/>
        <v>67805</v>
      </c>
      <c r="F8" s="224">
        <v>68000</v>
      </c>
      <c r="G8" s="18"/>
      <c r="H8" s="19">
        <f t="shared" si="1"/>
        <v>68000</v>
      </c>
      <c r="I8" s="68">
        <v>70842</v>
      </c>
      <c r="J8" s="66"/>
      <c r="K8" s="272">
        <f t="shared" si="2"/>
        <v>70842</v>
      </c>
      <c r="L8" s="20">
        <f>I8/F8</f>
        <v>1.0417941176470589</v>
      </c>
      <c r="M8" s="21"/>
      <c r="N8" s="22">
        <f t="shared" ref="N8:N24" si="6">K8/H8</f>
        <v>1.0417941176470589</v>
      </c>
      <c r="O8" s="46">
        <f t="shared" si="4"/>
        <v>3037</v>
      </c>
      <c r="P8" s="46">
        <f t="shared" si="5"/>
        <v>2842</v>
      </c>
    </row>
    <row r="9" spans="1:16" ht="21" customHeight="1" x14ac:dyDescent="0.2">
      <c r="A9" s="104"/>
      <c r="B9" s="17" t="s">
        <v>7</v>
      </c>
      <c r="C9" s="67">
        <v>15098</v>
      </c>
      <c r="D9" s="66"/>
      <c r="E9" s="94">
        <f t="shared" si="0"/>
        <v>15098</v>
      </c>
      <c r="F9" s="224">
        <v>16700</v>
      </c>
      <c r="G9" s="18"/>
      <c r="H9" s="19">
        <f t="shared" si="1"/>
        <v>16700</v>
      </c>
      <c r="I9" s="68">
        <v>17842</v>
      </c>
      <c r="J9" s="66">
        <v>21</v>
      </c>
      <c r="K9" s="272">
        <f t="shared" si="2"/>
        <v>17863</v>
      </c>
      <c r="L9" s="20">
        <f t="shared" ref="L9:L10" si="7">I9/F9</f>
        <v>1.0683832335329342</v>
      </c>
      <c r="M9" s="21"/>
      <c r="N9" s="22">
        <f t="shared" si="6"/>
        <v>1.0696407185628742</v>
      </c>
      <c r="O9" s="46">
        <f t="shared" si="4"/>
        <v>2744</v>
      </c>
      <c r="P9" s="46">
        <f t="shared" si="5"/>
        <v>1142</v>
      </c>
    </row>
    <row r="10" spans="1:16" ht="21" customHeight="1" x14ac:dyDescent="0.2">
      <c r="A10" s="104"/>
      <c r="B10" s="17" t="s">
        <v>82</v>
      </c>
      <c r="C10" s="67">
        <v>4913</v>
      </c>
      <c r="D10" s="66"/>
      <c r="E10" s="94">
        <f t="shared" si="0"/>
        <v>4913</v>
      </c>
      <c r="F10" s="224">
        <v>5000</v>
      </c>
      <c r="G10" s="18"/>
      <c r="H10" s="19">
        <f t="shared" si="1"/>
        <v>5000</v>
      </c>
      <c r="I10" s="68">
        <v>5586</v>
      </c>
      <c r="J10" s="66"/>
      <c r="K10" s="272">
        <f t="shared" si="2"/>
        <v>5586</v>
      </c>
      <c r="L10" s="20">
        <f t="shared" si="7"/>
        <v>1.1172</v>
      </c>
      <c r="M10" s="21"/>
      <c r="N10" s="22">
        <f t="shared" si="6"/>
        <v>1.1172</v>
      </c>
      <c r="O10" s="46">
        <f t="shared" si="4"/>
        <v>673</v>
      </c>
      <c r="P10" s="46">
        <f t="shared" si="5"/>
        <v>586</v>
      </c>
    </row>
    <row r="11" spans="1:16" ht="21" customHeight="1" x14ac:dyDescent="0.2">
      <c r="A11" s="4"/>
      <c r="B11" s="17" t="s">
        <v>8</v>
      </c>
      <c r="C11" s="67">
        <v>10322</v>
      </c>
      <c r="D11" s="66"/>
      <c r="E11" s="94">
        <f t="shared" si="0"/>
        <v>10322</v>
      </c>
      <c r="F11" s="224">
        <v>10500</v>
      </c>
      <c r="G11" s="18"/>
      <c r="H11" s="19">
        <f t="shared" si="1"/>
        <v>10500</v>
      </c>
      <c r="I11" s="68">
        <v>9263</v>
      </c>
      <c r="J11" s="66"/>
      <c r="K11" s="272">
        <f t="shared" si="2"/>
        <v>9263</v>
      </c>
      <c r="L11" s="20">
        <f>I11/F11</f>
        <v>0.88219047619047619</v>
      </c>
      <c r="M11" s="21"/>
      <c r="N11" s="22">
        <f t="shared" si="6"/>
        <v>0.88219047619047619</v>
      </c>
      <c r="O11" s="46">
        <f t="shared" si="4"/>
        <v>-1059</v>
      </c>
      <c r="P11" s="46">
        <f t="shared" si="5"/>
        <v>-1237</v>
      </c>
    </row>
    <row r="12" spans="1:16" ht="21" customHeight="1" x14ac:dyDescent="0.2">
      <c r="A12" s="4"/>
      <c r="B12" s="17" t="s">
        <v>9</v>
      </c>
      <c r="C12" s="67">
        <v>152885</v>
      </c>
      <c r="D12" s="66"/>
      <c r="E12" s="94">
        <f t="shared" si="0"/>
        <v>152885</v>
      </c>
      <c r="F12" s="224">
        <v>152000</v>
      </c>
      <c r="G12" s="18"/>
      <c r="H12" s="19">
        <f t="shared" si="1"/>
        <v>152000</v>
      </c>
      <c r="I12" s="68">
        <v>190526</v>
      </c>
      <c r="J12" s="66"/>
      <c r="K12" s="272">
        <f t="shared" si="2"/>
        <v>190526</v>
      </c>
      <c r="L12" s="20">
        <f>I12/F12</f>
        <v>1.2534605263157894</v>
      </c>
      <c r="M12" s="21"/>
      <c r="N12" s="22">
        <f t="shared" si="6"/>
        <v>1.2534605263157894</v>
      </c>
      <c r="O12" s="46">
        <f t="shared" si="4"/>
        <v>37641</v>
      </c>
      <c r="P12" s="46">
        <f t="shared" si="5"/>
        <v>38526</v>
      </c>
    </row>
    <row r="13" spans="1:16" ht="21" customHeight="1" x14ac:dyDescent="0.2">
      <c r="A13" s="4"/>
      <c r="B13" s="17" t="s">
        <v>10</v>
      </c>
      <c r="C13" s="67">
        <v>34884</v>
      </c>
      <c r="D13" s="66"/>
      <c r="E13" s="94">
        <f t="shared" si="0"/>
        <v>34884</v>
      </c>
      <c r="F13" s="224">
        <v>34800</v>
      </c>
      <c r="G13" s="18"/>
      <c r="H13" s="19">
        <f t="shared" si="1"/>
        <v>34800</v>
      </c>
      <c r="I13" s="68">
        <v>37451</v>
      </c>
      <c r="J13" s="66"/>
      <c r="K13" s="272">
        <f t="shared" si="2"/>
        <v>37451</v>
      </c>
      <c r="L13" s="20">
        <f>I13/F13</f>
        <v>1.0761781609195402</v>
      </c>
      <c r="M13" s="21"/>
      <c r="N13" s="22">
        <f t="shared" si="6"/>
        <v>1.0761781609195402</v>
      </c>
      <c r="O13" s="46">
        <f t="shared" si="4"/>
        <v>2567</v>
      </c>
      <c r="P13" s="46">
        <f t="shared" si="5"/>
        <v>2651</v>
      </c>
    </row>
    <row r="14" spans="1:16" ht="21" customHeight="1" x14ac:dyDescent="0.2">
      <c r="A14" s="4"/>
      <c r="B14" s="17" t="s">
        <v>11</v>
      </c>
      <c r="C14" s="67"/>
      <c r="D14" s="66">
        <v>15103</v>
      </c>
      <c r="E14" s="94">
        <f t="shared" si="0"/>
        <v>15103</v>
      </c>
      <c r="F14" s="224"/>
      <c r="G14" s="18">
        <v>20000</v>
      </c>
      <c r="H14" s="19">
        <f t="shared" si="1"/>
        <v>20000</v>
      </c>
      <c r="I14" s="68"/>
      <c r="J14" s="66">
        <v>19587</v>
      </c>
      <c r="K14" s="272">
        <f t="shared" si="2"/>
        <v>19587</v>
      </c>
      <c r="L14" s="20"/>
      <c r="M14" s="21">
        <f t="shared" ref="M14:M22" si="8">J14/G14</f>
        <v>0.97935000000000005</v>
      </c>
      <c r="N14" s="22">
        <f t="shared" si="6"/>
        <v>0.97935000000000005</v>
      </c>
      <c r="O14" s="46">
        <f t="shared" si="4"/>
        <v>0</v>
      </c>
      <c r="P14" s="46">
        <f t="shared" si="5"/>
        <v>0</v>
      </c>
    </row>
    <row r="15" spans="1:16" ht="21" customHeight="1" x14ac:dyDescent="0.2">
      <c r="A15" s="4"/>
      <c r="B15" s="17" t="s">
        <v>67</v>
      </c>
      <c r="C15" s="67"/>
      <c r="D15" s="66">
        <v>8413</v>
      </c>
      <c r="E15" s="94">
        <f t="shared" si="0"/>
        <v>8413</v>
      </c>
      <c r="F15" s="224"/>
      <c r="G15" s="18">
        <v>10000</v>
      </c>
      <c r="H15" s="19">
        <f t="shared" si="1"/>
        <v>10000</v>
      </c>
      <c r="I15" s="68"/>
      <c r="J15" s="66">
        <v>10076</v>
      </c>
      <c r="K15" s="272">
        <f t="shared" si="2"/>
        <v>10076</v>
      </c>
      <c r="L15" s="20"/>
      <c r="M15" s="21">
        <f t="shared" si="8"/>
        <v>1.0076000000000001</v>
      </c>
      <c r="N15" s="22">
        <f>K15/H15</f>
        <v>1.0076000000000001</v>
      </c>
      <c r="O15" s="46">
        <f t="shared" si="4"/>
        <v>0</v>
      </c>
      <c r="P15" s="46">
        <f t="shared" si="5"/>
        <v>0</v>
      </c>
    </row>
    <row r="16" spans="1:16" ht="21" customHeight="1" x14ac:dyDescent="0.2">
      <c r="A16" s="72"/>
      <c r="B16" s="23" t="s">
        <v>74</v>
      </c>
      <c r="C16" s="67">
        <v>18771</v>
      </c>
      <c r="D16" s="66"/>
      <c r="E16" s="94">
        <f t="shared" si="0"/>
        <v>18771</v>
      </c>
      <c r="F16" s="224">
        <v>20000</v>
      </c>
      <c r="G16" s="18"/>
      <c r="H16" s="19">
        <f t="shared" si="1"/>
        <v>20000</v>
      </c>
      <c r="I16" s="68">
        <v>19764</v>
      </c>
      <c r="J16" s="66"/>
      <c r="K16" s="272">
        <f t="shared" si="2"/>
        <v>19764</v>
      </c>
      <c r="L16" s="20">
        <f>I16/F16</f>
        <v>0.98819999999999997</v>
      </c>
      <c r="M16" s="21"/>
      <c r="N16" s="22">
        <f>K16/H16</f>
        <v>0.98819999999999997</v>
      </c>
      <c r="O16" s="46">
        <f t="shared" si="4"/>
        <v>993</v>
      </c>
      <c r="P16" s="46">
        <f t="shared" si="5"/>
        <v>-236</v>
      </c>
    </row>
    <row r="17" spans="1:16" ht="21" customHeight="1" x14ac:dyDescent="0.2">
      <c r="A17" s="72"/>
      <c r="B17" s="23" t="s">
        <v>200</v>
      </c>
      <c r="C17" s="67">
        <v>141194</v>
      </c>
      <c r="D17" s="68"/>
      <c r="E17" s="94">
        <f t="shared" si="0"/>
        <v>141194</v>
      </c>
      <c r="F17" s="224">
        <v>136940</v>
      </c>
      <c r="G17" s="18"/>
      <c r="H17" s="19">
        <f t="shared" si="1"/>
        <v>136940</v>
      </c>
      <c r="I17" s="68">
        <v>134936</v>
      </c>
      <c r="J17" s="68"/>
      <c r="K17" s="272">
        <f t="shared" si="2"/>
        <v>134936</v>
      </c>
      <c r="L17" s="20">
        <f>I17/F17</f>
        <v>0.98536585365853657</v>
      </c>
      <c r="M17" s="21"/>
      <c r="N17" s="22">
        <f>K17/H17</f>
        <v>0.98536585365853657</v>
      </c>
      <c r="O17" s="46">
        <f t="shared" si="4"/>
        <v>-6258</v>
      </c>
      <c r="P17" s="46">
        <f t="shared" si="5"/>
        <v>-2004</v>
      </c>
    </row>
    <row r="18" spans="1:16" ht="21" customHeight="1" x14ac:dyDescent="0.2">
      <c r="A18" s="72"/>
      <c r="B18" s="23" t="s">
        <v>233</v>
      </c>
      <c r="C18" s="67">
        <v>10223</v>
      </c>
      <c r="D18" s="68"/>
      <c r="E18" s="94">
        <f t="shared" si="0"/>
        <v>10223</v>
      </c>
      <c r="F18" s="224"/>
      <c r="G18" s="18"/>
      <c r="H18" s="19"/>
      <c r="I18" s="68"/>
      <c r="J18" s="68"/>
      <c r="K18" s="272"/>
      <c r="L18" s="20"/>
      <c r="M18" s="21"/>
      <c r="N18" s="22"/>
      <c r="O18" s="46">
        <f t="shared" si="4"/>
        <v>-10223</v>
      </c>
      <c r="P18" s="46">
        <f t="shared" si="5"/>
        <v>0</v>
      </c>
    </row>
    <row r="19" spans="1:16" ht="21" customHeight="1" x14ac:dyDescent="0.2">
      <c r="A19" s="4">
        <v>3</v>
      </c>
      <c r="B19" s="23" t="s">
        <v>12</v>
      </c>
      <c r="C19" s="67"/>
      <c r="D19" s="68">
        <v>106663</v>
      </c>
      <c r="E19" s="94">
        <f>SUM(C19:D19)</f>
        <v>106663</v>
      </c>
      <c r="F19" s="224"/>
      <c r="G19" s="18">
        <v>115000</v>
      </c>
      <c r="H19" s="19">
        <f t="shared" si="1"/>
        <v>115000</v>
      </c>
      <c r="I19" s="68"/>
      <c r="J19" s="68">
        <v>106953</v>
      </c>
      <c r="K19" s="272">
        <f t="shared" si="2"/>
        <v>106953</v>
      </c>
      <c r="L19" s="20"/>
      <c r="M19" s="21">
        <f t="shared" si="8"/>
        <v>0.93002608695652178</v>
      </c>
      <c r="N19" s="22">
        <f t="shared" si="6"/>
        <v>0.93002608695652178</v>
      </c>
      <c r="O19" s="46">
        <f t="shared" si="4"/>
        <v>0</v>
      </c>
      <c r="P19" s="46">
        <f t="shared" si="5"/>
        <v>0</v>
      </c>
    </row>
    <row r="20" spans="1:16" ht="21" customHeight="1" x14ac:dyDescent="0.2">
      <c r="A20" s="4">
        <v>4</v>
      </c>
      <c r="B20" s="23" t="s">
        <v>13</v>
      </c>
      <c r="C20" s="67"/>
      <c r="D20" s="66">
        <v>15721</v>
      </c>
      <c r="E20" s="94">
        <f>SUM(C20:D20)</f>
        <v>15721</v>
      </c>
      <c r="F20" s="224"/>
      <c r="G20" s="18">
        <v>16000</v>
      </c>
      <c r="H20" s="19">
        <f t="shared" si="1"/>
        <v>16000</v>
      </c>
      <c r="I20" s="68"/>
      <c r="J20" s="66">
        <v>15105</v>
      </c>
      <c r="K20" s="272">
        <f t="shared" si="2"/>
        <v>15105</v>
      </c>
      <c r="L20" s="20"/>
      <c r="M20" s="21">
        <f t="shared" si="8"/>
        <v>0.94406250000000003</v>
      </c>
      <c r="N20" s="22">
        <f>K20/H20</f>
        <v>0.94406250000000003</v>
      </c>
      <c r="O20" s="46">
        <f t="shared" si="4"/>
        <v>0</v>
      </c>
      <c r="P20" s="46">
        <f t="shared" si="5"/>
        <v>0</v>
      </c>
    </row>
    <row r="21" spans="1:16" ht="21" customHeight="1" x14ac:dyDescent="0.2">
      <c r="A21" s="4">
        <v>5</v>
      </c>
      <c r="B21" s="23" t="s">
        <v>14</v>
      </c>
      <c r="C21" s="67"/>
      <c r="D21" s="66">
        <v>3364</v>
      </c>
      <c r="E21" s="94">
        <f>SUM(C21:D21)</f>
        <v>3364</v>
      </c>
      <c r="F21" s="224"/>
      <c r="G21" s="18">
        <v>3500</v>
      </c>
      <c r="H21" s="19">
        <f t="shared" si="1"/>
        <v>3500</v>
      </c>
      <c r="I21" s="68"/>
      <c r="J21" s="66">
        <v>1597</v>
      </c>
      <c r="K21" s="272">
        <f t="shared" si="2"/>
        <v>1597</v>
      </c>
      <c r="L21" s="20"/>
      <c r="M21" s="21">
        <f t="shared" si="8"/>
        <v>0.45628571428571429</v>
      </c>
      <c r="N21" s="22">
        <f t="shared" si="6"/>
        <v>0.45628571428571429</v>
      </c>
      <c r="O21" s="46">
        <f t="shared" si="4"/>
        <v>0</v>
      </c>
      <c r="P21" s="46">
        <f t="shared" si="5"/>
        <v>0</v>
      </c>
    </row>
    <row r="22" spans="1:16" ht="21" customHeight="1" x14ac:dyDescent="0.2">
      <c r="A22" s="4">
        <v>7</v>
      </c>
      <c r="B22" s="9" t="s">
        <v>15</v>
      </c>
      <c r="C22" s="10">
        <f>SUM(C3,C19:C21)</f>
        <v>1414753</v>
      </c>
      <c r="D22" s="11">
        <f>SUM(D3,D19:D21)</f>
        <v>156212</v>
      </c>
      <c r="E22" s="12">
        <f>SUM(C22:D22)</f>
        <v>1570965</v>
      </c>
      <c r="F22" s="13">
        <f>SUM(F4:F17)</f>
        <v>1437640</v>
      </c>
      <c r="G22" s="11">
        <f>SUM(G4:G21)</f>
        <v>180300</v>
      </c>
      <c r="H22" s="12">
        <f t="shared" si="1"/>
        <v>1617940</v>
      </c>
      <c r="I22" s="273">
        <f>SUM(I3,I19:I21)</f>
        <v>1438719</v>
      </c>
      <c r="J22" s="273">
        <f>SUM(J3,J19:J21)</f>
        <v>161142</v>
      </c>
      <c r="K22" s="269">
        <f t="shared" si="2"/>
        <v>1599861</v>
      </c>
      <c r="L22" s="14">
        <f>I22/F22</f>
        <v>1.000750535600011</v>
      </c>
      <c r="M22" s="15">
        <f t="shared" si="8"/>
        <v>0.89374376039933445</v>
      </c>
      <c r="N22" s="16">
        <f t="shared" si="6"/>
        <v>0.98882591443440426</v>
      </c>
      <c r="O22" s="46">
        <f t="shared" si="4"/>
        <v>23966</v>
      </c>
      <c r="P22" s="46">
        <f t="shared" si="5"/>
        <v>1079</v>
      </c>
    </row>
    <row r="23" spans="1:16" ht="21" customHeight="1" x14ac:dyDescent="0.2">
      <c r="A23" s="4">
        <v>8</v>
      </c>
      <c r="B23" s="23" t="s">
        <v>16</v>
      </c>
      <c r="C23" s="67"/>
      <c r="D23" s="66"/>
      <c r="E23" s="94">
        <v>123500</v>
      </c>
      <c r="F23" s="224"/>
      <c r="G23" s="55"/>
      <c r="H23" s="19">
        <v>160000</v>
      </c>
      <c r="I23" s="270"/>
      <c r="J23" s="271"/>
      <c r="K23" s="274">
        <v>177115</v>
      </c>
      <c r="L23" s="20"/>
      <c r="M23" s="21"/>
      <c r="N23" s="22">
        <f t="shared" si="6"/>
        <v>1.1069687500000001</v>
      </c>
      <c r="O23" s="46">
        <f t="shared" si="4"/>
        <v>0</v>
      </c>
      <c r="P23" s="46">
        <f t="shared" si="5"/>
        <v>0</v>
      </c>
    </row>
    <row r="24" spans="1:16" ht="21" customHeight="1" x14ac:dyDescent="0.2">
      <c r="A24" s="76">
        <v>9</v>
      </c>
      <c r="B24" s="77" t="s">
        <v>75</v>
      </c>
      <c r="C24" s="235"/>
      <c r="D24" s="96"/>
      <c r="E24" s="94">
        <v>54821</v>
      </c>
      <c r="F24" s="225"/>
      <c r="G24" s="78"/>
      <c r="H24" s="19">
        <v>35000</v>
      </c>
      <c r="I24" s="275"/>
      <c r="J24" s="276"/>
      <c r="K24" s="272">
        <v>95722</v>
      </c>
      <c r="L24" s="79"/>
      <c r="M24" s="80"/>
      <c r="N24" s="22">
        <f t="shared" si="6"/>
        <v>2.7349142857142859</v>
      </c>
      <c r="O24" s="46">
        <f t="shared" si="4"/>
        <v>0</v>
      </c>
      <c r="P24" s="46">
        <f t="shared" si="5"/>
        <v>0</v>
      </c>
    </row>
    <row r="25" spans="1:16" ht="21" customHeight="1" thickBot="1" x14ac:dyDescent="0.25">
      <c r="A25" s="26">
        <v>10</v>
      </c>
      <c r="B25" s="27" t="s">
        <v>17</v>
      </c>
      <c r="C25" s="53">
        <f t="shared" ref="C25:E25" si="9">SUM(C22:C24)</f>
        <v>1414753</v>
      </c>
      <c r="D25" s="28">
        <f t="shared" si="9"/>
        <v>156212</v>
      </c>
      <c r="E25" s="56">
        <f t="shared" si="9"/>
        <v>1749286</v>
      </c>
      <c r="F25" s="226">
        <f t="shared" ref="F25:H25" si="10">SUM(F22:F24)</f>
        <v>1437640</v>
      </c>
      <c r="G25" s="28">
        <f t="shared" si="10"/>
        <v>180300</v>
      </c>
      <c r="H25" s="56">
        <f t="shared" si="10"/>
        <v>1812940</v>
      </c>
      <c r="I25" s="277">
        <f t="shared" ref="I25:K25" si="11">SUM(I22:I24)</f>
        <v>1438719</v>
      </c>
      <c r="J25" s="278">
        <f t="shared" si="11"/>
        <v>161142</v>
      </c>
      <c r="K25" s="279">
        <f t="shared" si="11"/>
        <v>1872698</v>
      </c>
      <c r="L25" s="29">
        <f>I25/F25</f>
        <v>1.000750535600011</v>
      </c>
      <c r="M25" s="30">
        <f>J25/G25</f>
        <v>0.89374376039933445</v>
      </c>
      <c r="N25" s="31">
        <f>K25/H25</f>
        <v>1.0329619292420047</v>
      </c>
      <c r="O25" s="46">
        <f t="shared" si="4"/>
        <v>23966</v>
      </c>
      <c r="P25" s="46">
        <f t="shared" si="5"/>
        <v>1079</v>
      </c>
    </row>
    <row r="43" spans="11:11" ht="21" customHeight="1" x14ac:dyDescent="0.2">
      <c r="K43" s="8"/>
    </row>
    <row r="44" spans="11:11" ht="21" customHeight="1" x14ac:dyDescent="0.2">
      <c r="K44" s="8"/>
    </row>
    <row r="45" spans="11:11" ht="21" customHeight="1" x14ac:dyDescent="0.2">
      <c r="K45" s="8"/>
    </row>
    <row r="46" spans="11:11" ht="21" customHeight="1" x14ac:dyDescent="0.2">
      <c r="K46" s="8"/>
    </row>
    <row r="47" spans="11:11" ht="21" customHeight="1" x14ac:dyDescent="0.2">
      <c r="K47" s="8"/>
    </row>
    <row r="48" spans="11:11" ht="21" customHeight="1" x14ac:dyDescent="0.2">
      <c r="K48" s="8"/>
    </row>
    <row r="49" spans="11:11" ht="21" customHeight="1" x14ac:dyDescent="0.2">
      <c r="K49" s="8"/>
    </row>
    <row r="50" spans="11:11" ht="21" customHeight="1" x14ac:dyDescent="0.2">
      <c r="K50" s="8"/>
    </row>
    <row r="51" spans="11:11" ht="21" customHeight="1" x14ac:dyDescent="0.2">
      <c r="K51" s="8"/>
    </row>
    <row r="52" spans="11:11" ht="21" customHeight="1" x14ac:dyDescent="0.2">
      <c r="K52" s="8"/>
    </row>
    <row r="53" spans="11:11" ht="21" customHeight="1" x14ac:dyDescent="0.2">
      <c r="K53" s="8"/>
    </row>
    <row r="54" spans="11:11" ht="21" customHeight="1" x14ac:dyDescent="0.2">
      <c r="K54" s="8"/>
    </row>
    <row r="55" spans="11:11" ht="21" customHeight="1" x14ac:dyDescent="0.2">
      <c r="K55" s="8"/>
    </row>
    <row r="56" spans="11:11" ht="21" customHeight="1" x14ac:dyDescent="0.2">
      <c r="K56" s="8"/>
    </row>
    <row r="57" spans="11:11" ht="21" customHeight="1" x14ac:dyDescent="0.2">
      <c r="K57" s="8"/>
    </row>
    <row r="58" spans="11:11" ht="21" customHeight="1" x14ac:dyDescent="0.2">
      <c r="K58" s="8"/>
    </row>
    <row r="59" spans="11:11" ht="21" customHeight="1" x14ac:dyDescent="0.2">
      <c r="K59" s="8"/>
    </row>
    <row r="60" spans="11:11" ht="21" customHeight="1" x14ac:dyDescent="0.2">
      <c r="K60" s="8"/>
    </row>
    <row r="61" spans="11:11" ht="21" customHeight="1" x14ac:dyDescent="0.2">
      <c r="K61" s="8"/>
    </row>
    <row r="62" spans="11:11" ht="21" customHeight="1" x14ac:dyDescent="0.2">
      <c r="K62" s="8"/>
    </row>
    <row r="63" spans="11:11" ht="21" customHeight="1" x14ac:dyDescent="0.2">
      <c r="K63" s="8"/>
    </row>
    <row r="64" spans="11:11" ht="21" customHeight="1" x14ac:dyDescent="0.2">
      <c r="K64" s="8"/>
    </row>
    <row r="65" spans="11:11" ht="21" customHeight="1" x14ac:dyDescent="0.2">
      <c r="K65" s="8"/>
    </row>
    <row r="66" spans="11:11" ht="21" customHeight="1" x14ac:dyDescent="0.2">
      <c r="K66" s="8"/>
    </row>
  </sheetData>
  <mergeCells count="5">
    <mergeCell ref="A1:B2"/>
    <mergeCell ref="F1:H1"/>
    <mergeCell ref="I1:K1"/>
    <mergeCell ref="L1:N1"/>
    <mergeCell ref="C1:E1"/>
  </mergeCells>
  <phoneticPr fontId="0" type="noConversion"/>
  <conditionalFormatting sqref="A1:XFD1048576">
    <cfRule type="cellIs" dxfId="6" priority="14" stopIfTrue="1" operator="equal">
      <formula>0</formula>
    </cfRule>
  </conditionalFormatting>
  <printOptions horizontalCentered="1" verticalCentered="1"/>
  <pageMargins left="0" right="0" top="0.98425196850393704" bottom="0.59055118110236227" header="0.51181102362204722" footer="0.31496062992125984"/>
  <pageSetup paperSize="9" scale="85" orientation="landscape" r:id="rId1"/>
  <headerFooter alignWithMargins="0">
    <oddHeader>&amp;CXIII. Kerületi Egészségügyi Szolgálat Nonprofit Kft.2014. évi bevétele&amp;R5. sz. melléklet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4"/>
  <sheetViews>
    <sheetView topLeftCell="B1" workbookViewId="0">
      <selection activeCell="M10" sqref="M10"/>
    </sheetView>
  </sheetViews>
  <sheetFormatPr defaultRowHeight="21" customHeight="1" x14ac:dyDescent="0.2"/>
  <cols>
    <col min="1" max="1" width="22.28515625" style="147" customWidth="1"/>
    <col min="2" max="25" width="6.7109375" style="204" customWidth="1"/>
    <col min="26" max="256" width="9.140625" style="147"/>
    <col min="257" max="257" width="22.28515625" style="147" customWidth="1"/>
    <col min="258" max="281" width="6.7109375" style="147" customWidth="1"/>
    <col min="282" max="512" width="9.140625" style="147"/>
    <col min="513" max="513" width="22.28515625" style="147" customWidth="1"/>
    <col min="514" max="537" width="6.7109375" style="147" customWidth="1"/>
    <col min="538" max="768" width="9.140625" style="147"/>
    <col min="769" max="769" width="22.28515625" style="147" customWidth="1"/>
    <col min="770" max="793" width="6.7109375" style="147" customWidth="1"/>
    <col min="794" max="1024" width="9.140625" style="147"/>
    <col min="1025" max="1025" width="22.28515625" style="147" customWidth="1"/>
    <col min="1026" max="1049" width="6.7109375" style="147" customWidth="1"/>
    <col min="1050" max="1280" width="9.140625" style="147"/>
    <col min="1281" max="1281" width="22.28515625" style="147" customWidth="1"/>
    <col min="1282" max="1305" width="6.7109375" style="147" customWidth="1"/>
    <col min="1306" max="1536" width="9.140625" style="147"/>
    <col min="1537" max="1537" width="22.28515625" style="147" customWidth="1"/>
    <col min="1538" max="1561" width="6.7109375" style="147" customWidth="1"/>
    <col min="1562" max="1792" width="9.140625" style="147"/>
    <col min="1793" max="1793" width="22.28515625" style="147" customWidth="1"/>
    <col min="1794" max="1817" width="6.7109375" style="147" customWidth="1"/>
    <col min="1818" max="2048" width="9.140625" style="147"/>
    <col min="2049" max="2049" width="22.28515625" style="147" customWidth="1"/>
    <col min="2050" max="2073" width="6.7109375" style="147" customWidth="1"/>
    <col min="2074" max="2304" width="9.140625" style="147"/>
    <col min="2305" max="2305" width="22.28515625" style="147" customWidth="1"/>
    <col min="2306" max="2329" width="6.7109375" style="147" customWidth="1"/>
    <col min="2330" max="2560" width="9.140625" style="147"/>
    <col min="2561" max="2561" width="22.28515625" style="147" customWidth="1"/>
    <col min="2562" max="2585" width="6.7109375" style="147" customWidth="1"/>
    <col min="2586" max="2816" width="9.140625" style="147"/>
    <col min="2817" max="2817" width="22.28515625" style="147" customWidth="1"/>
    <col min="2818" max="2841" width="6.7109375" style="147" customWidth="1"/>
    <col min="2842" max="3072" width="9.140625" style="147"/>
    <col min="3073" max="3073" width="22.28515625" style="147" customWidth="1"/>
    <col min="3074" max="3097" width="6.7109375" style="147" customWidth="1"/>
    <col min="3098" max="3328" width="9.140625" style="147"/>
    <col min="3329" max="3329" width="22.28515625" style="147" customWidth="1"/>
    <col min="3330" max="3353" width="6.7109375" style="147" customWidth="1"/>
    <col min="3354" max="3584" width="9.140625" style="147"/>
    <col min="3585" max="3585" width="22.28515625" style="147" customWidth="1"/>
    <col min="3586" max="3609" width="6.7109375" style="147" customWidth="1"/>
    <col min="3610" max="3840" width="9.140625" style="147"/>
    <col min="3841" max="3841" width="22.28515625" style="147" customWidth="1"/>
    <col min="3842" max="3865" width="6.7109375" style="147" customWidth="1"/>
    <col min="3866" max="4096" width="9.140625" style="147"/>
    <col min="4097" max="4097" width="22.28515625" style="147" customWidth="1"/>
    <col min="4098" max="4121" width="6.7109375" style="147" customWidth="1"/>
    <col min="4122" max="4352" width="9.140625" style="147"/>
    <col min="4353" max="4353" width="22.28515625" style="147" customWidth="1"/>
    <col min="4354" max="4377" width="6.7109375" style="147" customWidth="1"/>
    <col min="4378" max="4608" width="9.140625" style="147"/>
    <col min="4609" max="4609" width="22.28515625" style="147" customWidth="1"/>
    <col min="4610" max="4633" width="6.7109375" style="147" customWidth="1"/>
    <col min="4634" max="4864" width="9.140625" style="147"/>
    <col min="4865" max="4865" width="22.28515625" style="147" customWidth="1"/>
    <col min="4866" max="4889" width="6.7109375" style="147" customWidth="1"/>
    <col min="4890" max="5120" width="9.140625" style="147"/>
    <col min="5121" max="5121" width="22.28515625" style="147" customWidth="1"/>
    <col min="5122" max="5145" width="6.7109375" style="147" customWidth="1"/>
    <col min="5146" max="5376" width="9.140625" style="147"/>
    <col min="5377" max="5377" width="22.28515625" style="147" customWidth="1"/>
    <col min="5378" max="5401" width="6.7109375" style="147" customWidth="1"/>
    <col min="5402" max="5632" width="9.140625" style="147"/>
    <col min="5633" max="5633" width="22.28515625" style="147" customWidth="1"/>
    <col min="5634" max="5657" width="6.7109375" style="147" customWidth="1"/>
    <col min="5658" max="5888" width="9.140625" style="147"/>
    <col min="5889" max="5889" width="22.28515625" style="147" customWidth="1"/>
    <col min="5890" max="5913" width="6.7109375" style="147" customWidth="1"/>
    <col min="5914" max="6144" width="9.140625" style="147"/>
    <col min="6145" max="6145" width="22.28515625" style="147" customWidth="1"/>
    <col min="6146" max="6169" width="6.7109375" style="147" customWidth="1"/>
    <col min="6170" max="6400" width="9.140625" style="147"/>
    <col min="6401" max="6401" width="22.28515625" style="147" customWidth="1"/>
    <col min="6402" max="6425" width="6.7109375" style="147" customWidth="1"/>
    <col min="6426" max="6656" width="9.140625" style="147"/>
    <col min="6657" max="6657" width="22.28515625" style="147" customWidth="1"/>
    <col min="6658" max="6681" width="6.7109375" style="147" customWidth="1"/>
    <col min="6682" max="6912" width="9.140625" style="147"/>
    <col min="6913" max="6913" width="22.28515625" style="147" customWidth="1"/>
    <col min="6914" max="6937" width="6.7109375" style="147" customWidth="1"/>
    <col min="6938" max="7168" width="9.140625" style="147"/>
    <col min="7169" max="7169" width="22.28515625" style="147" customWidth="1"/>
    <col min="7170" max="7193" width="6.7109375" style="147" customWidth="1"/>
    <col min="7194" max="7424" width="9.140625" style="147"/>
    <col min="7425" max="7425" width="22.28515625" style="147" customWidth="1"/>
    <col min="7426" max="7449" width="6.7109375" style="147" customWidth="1"/>
    <col min="7450" max="7680" width="9.140625" style="147"/>
    <col min="7681" max="7681" width="22.28515625" style="147" customWidth="1"/>
    <col min="7682" max="7705" width="6.7109375" style="147" customWidth="1"/>
    <col min="7706" max="7936" width="9.140625" style="147"/>
    <col min="7937" max="7937" width="22.28515625" style="147" customWidth="1"/>
    <col min="7938" max="7961" width="6.7109375" style="147" customWidth="1"/>
    <col min="7962" max="8192" width="9.140625" style="147"/>
    <col min="8193" max="8193" width="22.28515625" style="147" customWidth="1"/>
    <col min="8194" max="8217" width="6.7109375" style="147" customWidth="1"/>
    <col min="8218" max="8448" width="9.140625" style="147"/>
    <col min="8449" max="8449" width="22.28515625" style="147" customWidth="1"/>
    <col min="8450" max="8473" width="6.7109375" style="147" customWidth="1"/>
    <col min="8474" max="8704" width="9.140625" style="147"/>
    <col min="8705" max="8705" width="22.28515625" style="147" customWidth="1"/>
    <col min="8706" max="8729" width="6.7109375" style="147" customWidth="1"/>
    <col min="8730" max="8960" width="9.140625" style="147"/>
    <col min="8961" max="8961" width="22.28515625" style="147" customWidth="1"/>
    <col min="8962" max="8985" width="6.7109375" style="147" customWidth="1"/>
    <col min="8986" max="9216" width="9.140625" style="147"/>
    <col min="9217" max="9217" width="22.28515625" style="147" customWidth="1"/>
    <col min="9218" max="9241" width="6.7109375" style="147" customWidth="1"/>
    <col min="9242" max="9472" width="9.140625" style="147"/>
    <col min="9473" max="9473" width="22.28515625" style="147" customWidth="1"/>
    <col min="9474" max="9497" width="6.7109375" style="147" customWidth="1"/>
    <col min="9498" max="9728" width="9.140625" style="147"/>
    <col min="9729" max="9729" width="22.28515625" style="147" customWidth="1"/>
    <col min="9730" max="9753" width="6.7109375" style="147" customWidth="1"/>
    <col min="9754" max="9984" width="9.140625" style="147"/>
    <col min="9985" max="9985" width="22.28515625" style="147" customWidth="1"/>
    <col min="9986" max="10009" width="6.7109375" style="147" customWidth="1"/>
    <col min="10010" max="10240" width="9.140625" style="147"/>
    <col min="10241" max="10241" width="22.28515625" style="147" customWidth="1"/>
    <col min="10242" max="10265" width="6.7109375" style="147" customWidth="1"/>
    <col min="10266" max="10496" width="9.140625" style="147"/>
    <col min="10497" max="10497" width="22.28515625" style="147" customWidth="1"/>
    <col min="10498" max="10521" width="6.7109375" style="147" customWidth="1"/>
    <col min="10522" max="10752" width="9.140625" style="147"/>
    <col min="10753" max="10753" width="22.28515625" style="147" customWidth="1"/>
    <col min="10754" max="10777" width="6.7109375" style="147" customWidth="1"/>
    <col min="10778" max="11008" width="9.140625" style="147"/>
    <col min="11009" max="11009" width="22.28515625" style="147" customWidth="1"/>
    <col min="11010" max="11033" width="6.7109375" style="147" customWidth="1"/>
    <col min="11034" max="11264" width="9.140625" style="147"/>
    <col min="11265" max="11265" width="22.28515625" style="147" customWidth="1"/>
    <col min="11266" max="11289" width="6.7109375" style="147" customWidth="1"/>
    <col min="11290" max="11520" width="9.140625" style="147"/>
    <col min="11521" max="11521" width="22.28515625" style="147" customWidth="1"/>
    <col min="11522" max="11545" width="6.7109375" style="147" customWidth="1"/>
    <col min="11546" max="11776" width="9.140625" style="147"/>
    <col min="11777" max="11777" width="22.28515625" style="147" customWidth="1"/>
    <col min="11778" max="11801" width="6.7109375" style="147" customWidth="1"/>
    <col min="11802" max="12032" width="9.140625" style="147"/>
    <col min="12033" max="12033" width="22.28515625" style="147" customWidth="1"/>
    <col min="12034" max="12057" width="6.7109375" style="147" customWidth="1"/>
    <col min="12058" max="12288" width="9.140625" style="147"/>
    <col min="12289" max="12289" width="22.28515625" style="147" customWidth="1"/>
    <col min="12290" max="12313" width="6.7109375" style="147" customWidth="1"/>
    <col min="12314" max="12544" width="9.140625" style="147"/>
    <col min="12545" max="12545" width="22.28515625" style="147" customWidth="1"/>
    <col min="12546" max="12569" width="6.7109375" style="147" customWidth="1"/>
    <col min="12570" max="12800" width="9.140625" style="147"/>
    <col min="12801" max="12801" width="22.28515625" style="147" customWidth="1"/>
    <col min="12802" max="12825" width="6.7109375" style="147" customWidth="1"/>
    <col min="12826" max="13056" width="9.140625" style="147"/>
    <col min="13057" max="13057" width="22.28515625" style="147" customWidth="1"/>
    <col min="13058" max="13081" width="6.7109375" style="147" customWidth="1"/>
    <col min="13082" max="13312" width="9.140625" style="147"/>
    <col min="13313" max="13313" width="22.28515625" style="147" customWidth="1"/>
    <col min="13314" max="13337" width="6.7109375" style="147" customWidth="1"/>
    <col min="13338" max="13568" width="9.140625" style="147"/>
    <col min="13569" max="13569" width="22.28515625" style="147" customWidth="1"/>
    <col min="13570" max="13593" width="6.7109375" style="147" customWidth="1"/>
    <col min="13594" max="13824" width="9.140625" style="147"/>
    <col min="13825" max="13825" width="22.28515625" style="147" customWidth="1"/>
    <col min="13826" max="13849" width="6.7109375" style="147" customWidth="1"/>
    <col min="13850" max="14080" width="9.140625" style="147"/>
    <col min="14081" max="14081" width="22.28515625" style="147" customWidth="1"/>
    <col min="14082" max="14105" width="6.7109375" style="147" customWidth="1"/>
    <col min="14106" max="14336" width="9.140625" style="147"/>
    <col min="14337" max="14337" width="22.28515625" style="147" customWidth="1"/>
    <col min="14338" max="14361" width="6.7109375" style="147" customWidth="1"/>
    <col min="14362" max="14592" width="9.140625" style="147"/>
    <col min="14593" max="14593" width="22.28515625" style="147" customWidth="1"/>
    <col min="14594" max="14617" width="6.7109375" style="147" customWidth="1"/>
    <col min="14618" max="14848" width="9.140625" style="147"/>
    <col min="14849" max="14849" width="22.28515625" style="147" customWidth="1"/>
    <col min="14850" max="14873" width="6.7109375" style="147" customWidth="1"/>
    <col min="14874" max="15104" width="9.140625" style="147"/>
    <col min="15105" max="15105" width="22.28515625" style="147" customWidth="1"/>
    <col min="15106" max="15129" width="6.7109375" style="147" customWidth="1"/>
    <col min="15130" max="15360" width="9.140625" style="147"/>
    <col min="15361" max="15361" width="22.28515625" style="147" customWidth="1"/>
    <col min="15362" max="15385" width="6.7109375" style="147" customWidth="1"/>
    <col min="15386" max="15616" width="9.140625" style="147"/>
    <col min="15617" max="15617" width="22.28515625" style="147" customWidth="1"/>
    <col min="15618" max="15641" width="6.7109375" style="147" customWidth="1"/>
    <col min="15642" max="15872" width="9.140625" style="147"/>
    <col min="15873" max="15873" width="22.28515625" style="147" customWidth="1"/>
    <col min="15874" max="15897" width="6.7109375" style="147" customWidth="1"/>
    <col min="15898" max="16128" width="9.140625" style="147"/>
    <col min="16129" max="16129" width="22.28515625" style="147" customWidth="1"/>
    <col min="16130" max="16153" width="6.7109375" style="147" customWidth="1"/>
    <col min="16154" max="16384" width="9.140625" style="147"/>
  </cols>
  <sheetData>
    <row r="1" spans="1:43" ht="19.5" customHeight="1" x14ac:dyDescent="0.2">
      <c r="A1" s="530" t="s">
        <v>174</v>
      </c>
      <c r="B1" s="544" t="s">
        <v>175</v>
      </c>
      <c r="C1" s="535"/>
      <c r="D1" s="535"/>
      <c r="E1" s="535"/>
      <c r="F1" s="535"/>
      <c r="G1" s="535"/>
      <c r="H1" s="535"/>
      <c r="I1" s="536"/>
      <c r="J1" s="532" t="s">
        <v>176</v>
      </c>
      <c r="K1" s="533"/>
      <c r="L1" s="533"/>
      <c r="M1" s="533"/>
      <c r="N1" s="533"/>
      <c r="O1" s="533"/>
      <c r="P1" s="533"/>
      <c r="Q1" s="534"/>
      <c r="Z1" s="204"/>
      <c r="AA1" s="204"/>
      <c r="AB1" s="204"/>
      <c r="AC1" s="204"/>
      <c r="AD1" s="204"/>
      <c r="AE1" s="204"/>
      <c r="AF1" s="204"/>
      <c r="AG1" s="204"/>
      <c r="AH1" s="204"/>
      <c r="AI1" s="204"/>
      <c r="AJ1" s="204"/>
      <c r="AK1" s="204"/>
      <c r="AL1" s="204"/>
      <c r="AN1" s="204"/>
      <c r="AO1" s="204"/>
      <c r="AP1" s="204"/>
      <c r="AQ1" s="204"/>
    </row>
    <row r="2" spans="1:43" ht="24" customHeight="1" x14ac:dyDescent="0.2">
      <c r="A2" s="567"/>
      <c r="B2" s="552" t="s">
        <v>177</v>
      </c>
      <c r="C2" s="553"/>
      <c r="D2" s="554" t="s">
        <v>178</v>
      </c>
      <c r="E2" s="553"/>
      <c r="F2" s="554" t="s">
        <v>179</v>
      </c>
      <c r="G2" s="553"/>
      <c r="H2" s="554" t="s">
        <v>180</v>
      </c>
      <c r="I2" s="569"/>
      <c r="J2" s="555" t="s">
        <v>177</v>
      </c>
      <c r="K2" s="538"/>
      <c r="L2" s="538" t="s">
        <v>178</v>
      </c>
      <c r="M2" s="538"/>
      <c r="N2" s="538" t="s">
        <v>179</v>
      </c>
      <c r="O2" s="538"/>
      <c r="P2" s="538" t="s">
        <v>180</v>
      </c>
      <c r="Q2" s="556"/>
      <c r="T2" s="211"/>
      <c r="X2" s="147"/>
      <c r="Y2" s="147"/>
      <c r="AI2" s="204"/>
    </row>
    <row r="3" spans="1:43" s="204" customFormat="1" ht="24" customHeight="1" x14ac:dyDescent="0.2">
      <c r="A3" s="568"/>
      <c r="B3" s="212" t="s">
        <v>202</v>
      </c>
      <c r="C3" s="213" t="s">
        <v>203</v>
      </c>
      <c r="D3" s="264" t="str">
        <f t="shared" ref="D3:Q3" si="0">B3</f>
        <v>2014 terv</v>
      </c>
      <c r="E3" s="213" t="str">
        <f t="shared" si="0"/>
        <v>2014          tény</v>
      </c>
      <c r="F3" s="264" t="str">
        <f t="shared" si="0"/>
        <v>2014 terv</v>
      </c>
      <c r="G3" s="213" t="str">
        <f t="shared" si="0"/>
        <v>2014          tény</v>
      </c>
      <c r="H3" s="264" t="str">
        <f t="shared" si="0"/>
        <v>2014 terv</v>
      </c>
      <c r="I3" s="214" t="str">
        <f t="shared" si="0"/>
        <v>2014          tény</v>
      </c>
      <c r="J3" s="263" t="str">
        <f t="shared" si="0"/>
        <v>2014 terv</v>
      </c>
      <c r="K3" s="213" t="str">
        <f t="shared" si="0"/>
        <v>2014          tény</v>
      </c>
      <c r="L3" s="264" t="str">
        <f t="shared" si="0"/>
        <v>2014 terv</v>
      </c>
      <c r="M3" s="213" t="str">
        <f t="shared" si="0"/>
        <v>2014          tény</v>
      </c>
      <c r="N3" s="264" t="str">
        <f t="shared" si="0"/>
        <v>2014 terv</v>
      </c>
      <c r="O3" s="213" t="str">
        <f t="shared" si="0"/>
        <v>2014          tény</v>
      </c>
      <c r="P3" s="264" t="str">
        <f t="shared" si="0"/>
        <v>2014 terv</v>
      </c>
      <c r="Q3" s="215" t="str">
        <f t="shared" si="0"/>
        <v>2014          tény</v>
      </c>
      <c r="T3" s="211"/>
      <c r="X3" s="147"/>
      <c r="Y3" s="147"/>
    </row>
    <row r="4" spans="1:43" ht="19.5" customHeight="1" x14ac:dyDescent="0.2">
      <c r="A4" s="156" t="s">
        <v>181</v>
      </c>
      <c r="B4" s="241"/>
      <c r="C4" s="242"/>
      <c r="D4" s="243"/>
      <c r="E4" s="242"/>
      <c r="F4" s="243"/>
      <c r="G4" s="242"/>
      <c r="H4" s="243"/>
      <c r="I4" s="244"/>
      <c r="J4" s="245"/>
      <c r="K4" s="242"/>
      <c r="L4" s="243"/>
      <c r="M4" s="242"/>
      <c r="N4" s="243"/>
      <c r="O4" s="242"/>
      <c r="P4" s="246"/>
      <c r="Q4" s="247"/>
      <c r="T4" s="211"/>
    </row>
    <row r="5" spans="1:43" ht="19.5" customHeight="1" x14ac:dyDescent="0.2">
      <c r="A5" s="156" t="s">
        <v>182</v>
      </c>
      <c r="B5" s="241"/>
      <c r="C5" s="242"/>
      <c r="D5" s="243"/>
      <c r="E5" s="242"/>
      <c r="F5" s="243"/>
      <c r="G5" s="242"/>
      <c r="H5" s="243"/>
      <c r="I5" s="244"/>
      <c r="J5" s="245"/>
      <c r="K5" s="242"/>
      <c r="L5" s="243"/>
      <c r="M5" s="242"/>
      <c r="N5" s="243"/>
      <c r="O5" s="242"/>
      <c r="P5" s="246"/>
      <c r="Q5" s="247"/>
      <c r="T5" s="217"/>
      <c r="U5" s="218"/>
      <c r="V5" s="218"/>
      <c r="W5" s="218"/>
      <c r="X5" s="147"/>
      <c r="Y5" s="147"/>
    </row>
    <row r="6" spans="1:43" ht="19.5" customHeight="1" x14ac:dyDescent="0.2">
      <c r="A6" s="156" t="s">
        <v>183</v>
      </c>
      <c r="B6" s="241"/>
      <c r="C6" s="242"/>
      <c r="D6" s="243"/>
      <c r="E6" s="242"/>
      <c r="F6" s="243"/>
      <c r="G6" s="242"/>
      <c r="H6" s="243"/>
      <c r="I6" s="244"/>
      <c r="J6" s="245"/>
      <c r="K6" s="242"/>
      <c r="L6" s="243"/>
      <c r="M6" s="242"/>
      <c r="N6" s="243"/>
      <c r="O6" s="242"/>
      <c r="P6" s="246"/>
      <c r="Q6" s="247"/>
      <c r="T6" s="217"/>
      <c r="U6" s="218"/>
      <c r="V6" s="218"/>
      <c r="W6" s="218"/>
      <c r="X6" s="147"/>
      <c r="Y6" s="147"/>
    </row>
    <row r="7" spans="1:43" ht="19.5" customHeight="1" x14ac:dyDescent="0.2">
      <c r="A7" s="156" t="s">
        <v>184</v>
      </c>
      <c r="B7" s="241"/>
      <c r="C7" s="242"/>
      <c r="D7" s="243"/>
      <c r="E7" s="242"/>
      <c r="F7" s="243"/>
      <c r="G7" s="242"/>
      <c r="H7" s="243"/>
      <c r="I7" s="244"/>
      <c r="J7" s="245"/>
      <c r="K7" s="242"/>
      <c r="L7" s="243"/>
      <c r="M7" s="242"/>
      <c r="N7" s="243"/>
      <c r="O7" s="242"/>
      <c r="P7" s="246"/>
      <c r="Q7" s="247"/>
      <c r="T7" s="217"/>
      <c r="U7" s="220"/>
      <c r="V7" s="220"/>
      <c r="W7" s="220"/>
      <c r="X7" s="147"/>
      <c r="Y7" s="147"/>
    </row>
    <row r="8" spans="1:43" ht="19.5" customHeight="1" x14ac:dyDescent="0.2">
      <c r="A8" s="156" t="s">
        <v>118</v>
      </c>
      <c r="B8" s="241"/>
      <c r="C8" s="242"/>
      <c r="D8" s="243"/>
      <c r="E8" s="242"/>
      <c r="F8" s="243"/>
      <c r="G8" s="242"/>
      <c r="H8" s="243"/>
      <c r="I8" s="244"/>
      <c r="J8" s="245"/>
      <c r="K8" s="242"/>
      <c r="L8" s="243"/>
      <c r="M8" s="242"/>
      <c r="N8" s="243"/>
      <c r="O8" s="242"/>
      <c r="P8" s="246"/>
      <c r="Q8" s="247"/>
      <c r="T8" s="217"/>
      <c r="X8" s="147"/>
      <c r="Y8" s="147"/>
    </row>
    <row r="9" spans="1:43" ht="19.5" customHeight="1" x14ac:dyDescent="0.2">
      <c r="A9" s="156" t="s">
        <v>185</v>
      </c>
      <c r="B9" s="241"/>
      <c r="C9" s="242"/>
      <c r="D9" s="243"/>
      <c r="E9" s="242"/>
      <c r="F9" s="243"/>
      <c r="G9" s="242"/>
      <c r="H9" s="243"/>
      <c r="I9" s="244"/>
      <c r="J9" s="245"/>
      <c r="K9" s="242"/>
      <c r="L9" s="243"/>
      <c r="M9" s="242"/>
      <c r="N9" s="243"/>
      <c r="O9" s="242"/>
      <c r="P9" s="246"/>
      <c r="Q9" s="247"/>
      <c r="T9" s="217"/>
      <c r="X9" s="147"/>
      <c r="Y9" s="147"/>
    </row>
    <row r="10" spans="1:43" ht="19.5" customHeight="1" x14ac:dyDescent="0.2">
      <c r="A10" s="156" t="s">
        <v>186</v>
      </c>
      <c r="B10" s="241"/>
      <c r="C10" s="242"/>
      <c r="D10" s="243"/>
      <c r="E10" s="242"/>
      <c r="F10" s="243"/>
      <c r="G10" s="242"/>
      <c r="H10" s="243"/>
      <c r="I10" s="244"/>
      <c r="J10" s="245"/>
      <c r="K10" s="242"/>
      <c r="L10" s="243"/>
      <c r="M10" s="242"/>
      <c r="N10" s="243"/>
      <c r="O10" s="242"/>
      <c r="P10" s="246"/>
      <c r="Q10" s="247"/>
      <c r="T10" s="217"/>
      <c r="X10" s="147"/>
      <c r="Y10" s="147"/>
    </row>
    <row r="11" spans="1:43" ht="19.5" customHeight="1" thickBot="1" x14ac:dyDescent="0.25">
      <c r="A11" s="221" t="s">
        <v>3</v>
      </c>
      <c r="B11" s="248">
        <f t="shared" ref="B11:Q11" si="1">SUM(B4:B10)</f>
        <v>0</v>
      </c>
      <c r="C11" s="249">
        <f t="shared" si="1"/>
        <v>0</v>
      </c>
      <c r="D11" s="250">
        <f t="shared" si="1"/>
        <v>0</v>
      </c>
      <c r="E11" s="251">
        <f t="shared" si="1"/>
        <v>0</v>
      </c>
      <c r="F11" s="250">
        <f t="shared" si="1"/>
        <v>0</v>
      </c>
      <c r="G11" s="249">
        <f t="shared" si="1"/>
        <v>0</v>
      </c>
      <c r="H11" s="250">
        <f t="shared" si="1"/>
        <v>0</v>
      </c>
      <c r="I11" s="251">
        <f t="shared" si="1"/>
        <v>0</v>
      </c>
      <c r="J11" s="248">
        <f t="shared" si="1"/>
        <v>0</v>
      </c>
      <c r="K11" s="249">
        <f t="shared" si="1"/>
        <v>0</v>
      </c>
      <c r="L11" s="250">
        <f t="shared" si="1"/>
        <v>0</v>
      </c>
      <c r="M11" s="251">
        <f t="shared" si="1"/>
        <v>0</v>
      </c>
      <c r="N11" s="250">
        <f t="shared" si="1"/>
        <v>0</v>
      </c>
      <c r="O11" s="249">
        <f t="shared" si="1"/>
        <v>0</v>
      </c>
      <c r="P11" s="250">
        <f t="shared" si="1"/>
        <v>0</v>
      </c>
      <c r="Q11" s="252">
        <f t="shared" si="1"/>
        <v>0</v>
      </c>
      <c r="T11" s="217"/>
      <c r="X11" s="147"/>
      <c r="Y11" s="147"/>
    </row>
    <row r="12" spans="1:43" ht="13.5" customHeight="1" thickBot="1" x14ac:dyDescent="0.25">
      <c r="T12" s="217"/>
      <c r="X12" s="147"/>
      <c r="Y12" s="147"/>
    </row>
    <row r="13" spans="1:43" ht="24" customHeight="1" x14ac:dyDescent="0.2">
      <c r="A13" s="557" t="s">
        <v>174</v>
      </c>
      <c r="B13" s="560" t="s">
        <v>187</v>
      </c>
      <c r="C13" s="561"/>
      <c r="D13" s="561"/>
      <c r="E13" s="561"/>
      <c r="F13" s="561"/>
      <c r="G13" s="562"/>
      <c r="H13" s="532" t="s">
        <v>3</v>
      </c>
      <c r="I13" s="533"/>
      <c r="J13" s="533"/>
      <c r="K13" s="533"/>
      <c r="L13" s="533"/>
      <c r="M13" s="533"/>
      <c r="N13" s="533"/>
      <c r="O13" s="534"/>
      <c r="P13" s="563" t="s">
        <v>3</v>
      </c>
      <c r="Q13" s="564"/>
      <c r="R13" s="548" t="s">
        <v>188</v>
      </c>
      <c r="S13" s="549"/>
      <c r="X13" s="147"/>
      <c r="Y13" s="147"/>
    </row>
    <row r="14" spans="1:43" ht="24" customHeight="1" x14ac:dyDescent="0.2">
      <c r="A14" s="558"/>
      <c r="B14" s="552" t="s">
        <v>177</v>
      </c>
      <c r="C14" s="553"/>
      <c r="D14" s="554" t="s">
        <v>178</v>
      </c>
      <c r="E14" s="553"/>
      <c r="F14" s="554" t="s">
        <v>179</v>
      </c>
      <c r="G14" s="553"/>
      <c r="H14" s="555" t="s">
        <v>177</v>
      </c>
      <c r="I14" s="538"/>
      <c r="J14" s="538" t="s">
        <v>178</v>
      </c>
      <c r="K14" s="538"/>
      <c r="L14" s="538" t="s">
        <v>179</v>
      </c>
      <c r="M14" s="538"/>
      <c r="N14" s="538" t="s">
        <v>180</v>
      </c>
      <c r="O14" s="556"/>
      <c r="P14" s="565"/>
      <c r="Q14" s="566"/>
      <c r="R14" s="550"/>
      <c r="S14" s="551"/>
      <c r="X14" s="147"/>
      <c r="Y14" s="147"/>
    </row>
    <row r="15" spans="1:43" s="204" customFormat="1" ht="24" customHeight="1" x14ac:dyDescent="0.2">
      <c r="A15" s="559"/>
      <c r="B15" s="236" t="str">
        <f t="shared" ref="B15:G15" si="2">B3</f>
        <v>2014 terv</v>
      </c>
      <c r="C15" s="240" t="str">
        <f t="shared" si="2"/>
        <v>2014          tény</v>
      </c>
      <c r="D15" s="237" t="str">
        <f t="shared" si="2"/>
        <v>2014 terv</v>
      </c>
      <c r="E15" s="240" t="str">
        <f t="shared" si="2"/>
        <v>2014          tény</v>
      </c>
      <c r="F15" s="237" t="str">
        <f t="shared" si="2"/>
        <v>2014 terv</v>
      </c>
      <c r="G15" s="240" t="str">
        <f t="shared" si="2"/>
        <v>2014          tény</v>
      </c>
      <c r="H15" s="236" t="str">
        <f t="shared" ref="H15:M15" si="3">L3</f>
        <v>2014 terv</v>
      </c>
      <c r="I15" s="240" t="str">
        <f t="shared" si="3"/>
        <v>2014          tény</v>
      </c>
      <c r="J15" s="237" t="str">
        <f t="shared" si="3"/>
        <v>2014 terv</v>
      </c>
      <c r="K15" s="240" t="str">
        <f t="shared" si="3"/>
        <v>2014          tény</v>
      </c>
      <c r="L15" s="237" t="str">
        <f t="shared" si="3"/>
        <v>2014 terv</v>
      </c>
      <c r="M15" s="240" t="str">
        <f t="shared" si="3"/>
        <v>2014          tény</v>
      </c>
      <c r="N15" s="237" t="str">
        <f t="shared" ref="N15:S15" si="4">L15</f>
        <v>2014 terv</v>
      </c>
      <c r="O15" s="240" t="str">
        <f t="shared" si="4"/>
        <v>2014          tény</v>
      </c>
      <c r="P15" s="236" t="str">
        <f t="shared" si="4"/>
        <v>2014 terv</v>
      </c>
      <c r="Q15" s="240" t="str">
        <f t="shared" si="4"/>
        <v>2014          tény</v>
      </c>
      <c r="R15" s="239" t="str">
        <f t="shared" si="4"/>
        <v>2014 terv</v>
      </c>
      <c r="S15" s="238" t="str">
        <f t="shared" si="4"/>
        <v>2014          tény</v>
      </c>
    </row>
    <row r="16" spans="1:43" s="204" customFormat="1" ht="19.5" customHeight="1" x14ac:dyDescent="0.2">
      <c r="A16" s="156" t="s">
        <v>181</v>
      </c>
      <c r="B16" s="241"/>
      <c r="C16" s="242"/>
      <c r="D16" s="243"/>
      <c r="E16" s="242"/>
      <c r="F16" s="243"/>
      <c r="G16" s="242"/>
      <c r="H16" s="253"/>
      <c r="I16" s="254"/>
      <c r="J16" s="255"/>
      <c r="K16" s="256"/>
      <c r="L16" s="255"/>
      <c r="M16" s="256"/>
      <c r="N16" s="257"/>
      <c r="O16" s="254"/>
      <c r="P16" s="258" t="str">
        <f t="shared" ref="P16:Q22" si="5">IF(SUM(H16,J16,L16,N16)&gt;0,SUM(H16,J16,L16,N16),"")</f>
        <v/>
      </c>
      <c r="Q16" s="259" t="str">
        <f t="shared" si="5"/>
        <v/>
      </c>
      <c r="R16" s="260"/>
      <c r="S16" s="247"/>
      <c r="X16" s="147"/>
      <c r="Y16" s="147"/>
      <c r="Z16" s="147"/>
      <c r="AA16" s="147"/>
      <c r="AB16" s="147"/>
      <c r="AC16" s="147"/>
      <c r="AD16" s="147"/>
      <c r="AE16" s="147"/>
      <c r="AF16" s="147"/>
      <c r="AG16" s="147"/>
      <c r="AH16" s="147"/>
      <c r="AI16" s="147"/>
      <c r="AJ16" s="147"/>
      <c r="AK16" s="147"/>
      <c r="AL16" s="147"/>
      <c r="AM16" s="147"/>
      <c r="AN16" s="147"/>
      <c r="AO16" s="147"/>
    </row>
    <row r="17" spans="1:43" s="204" customFormat="1" ht="19.5" customHeight="1" x14ac:dyDescent="0.2">
      <c r="A17" s="156" t="s">
        <v>182</v>
      </c>
      <c r="B17" s="241"/>
      <c r="C17" s="242"/>
      <c r="D17" s="243"/>
      <c r="E17" s="242"/>
      <c r="F17" s="243"/>
      <c r="G17" s="242"/>
      <c r="H17" s="253"/>
      <c r="I17" s="254"/>
      <c r="J17" s="255"/>
      <c r="K17" s="256"/>
      <c r="L17" s="255"/>
      <c r="M17" s="256"/>
      <c r="N17" s="257"/>
      <c r="O17" s="254"/>
      <c r="P17" s="258" t="str">
        <f t="shared" si="5"/>
        <v/>
      </c>
      <c r="Q17" s="259" t="str">
        <f t="shared" si="5"/>
        <v/>
      </c>
      <c r="R17" s="260"/>
      <c r="S17" s="247"/>
      <c r="X17" s="147"/>
      <c r="Y17" s="147"/>
      <c r="Z17" s="147"/>
      <c r="AA17" s="147"/>
      <c r="AB17" s="147"/>
      <c r="AC17" s="147"/>
      <c r="AD17" s="147"/>
      <c r="AE17" s="147"/>
      <c r="AF17" s="147"/>
      <c r="AG17" s="147"/>
      <c r="AH17" s="147"/>
      <c r="AI17" s="147"/>
      <c r="AJ17" s="147"/>
      <c r="AK17" s="147"/>
      <c r="AL17" s="147"/>
      <c r="AM17" s="147"/>
      <c r="AN17" s="147"/>
      <c r="AO17" s="147"/>
    </row>
    <row r="18" spans="1:43" s="204" customFormat="1" ht="19.5" customHeight="1" x14ac:dyDescent="0.2">
      <c r="A18" s="156" t="s">
        <v>183</v>
      </c>
      <c r="B18" s="241"/>
      <c r="C18" s="242"/>
      <c r="D18" s="243"/>
      <c r="E18" s="242"/>
      <c r="F18" s="243"/>
      <c r="G18" s="242"/>
      <c r="H18" s="253"/>
      <c r="I18" s="254"/>
      <c r="J18" s="255"/>
      <c r="K18" s="256"/>
      <c r="L18" s="255"/>
      <c r="M18" s="256"/>
      <c r="N18" s="257"/>
      <c r="O18" s="254"/>
      <c r="P18" s="258" t="str">
        <f t="shared" si="5"/>
        <v/>
      </c>
      <c r="Q18" s="259" t="str">
        <f t="shared" si="5"/>
        <v/>
      </c>
      <c r="R18" s="260"/>
      <c r="S18" s="247"/>
      <c r="X18" s="147"/>
      <c r="Y18" s="147"/>
      <c r="Z18" s="147"/>
      <c r="AA18" s="147"/>
      <c r="AB18" s="147"/>
      <c r="AC18" s="147"/>
      <c r="AD18" s="147"/>
      <c r="AE18" s="147"/>
      <c r="AF18" s="147"/>
      <c r="AG18" s="147"/>
      <c r="AH18" s="147"/>
      <c r="AI18" s="147"/>
      <c r="AJ18" s="147"/>
      <c r="AK18" s="147"/>
      <c r="AL18" s="147"/>
      <c r="AM18" s="147"/>
      <c r="AN18" s="147"/>
      <c r="AO18" s="147"/>
    </row>
    <row r="19" spans="1:43" s="204" customFormat="1" ht="19.5" customHeight="1" x14ac:dyDescent="0.2">
      <c r="A19" s="156" t="s">
        <v>184</v>
      </c>
      <c r="B19" s="241"/>
      <c r="C19" s="242"/>
      <c r="D19" s="243"/>
      <c r="E19" s="242"/>
      <c r="F19" s="243"/>
      <c r="G19" s="242"/>
      <c r="H19" s="253"/>
      <c r="I19" s="254"/>
      <c r="J19" s="255"/>
      <c r="K19" s="256"/>
      <c r="L19" s="255"/>
      <c r="M19" s="256"/>
      <c r="N19" s="257"/>
      <c r="O19" s="254"/>
      <c r="P19" s="258" t="str">
        <f t="shared" si="5"/>
        <v/>
      </c>
      <c r="Q19" s="259" t="str">
        <f t="shared" si="5"/>
        <v/>
      </c>
      <c r="R19" s="260"/>
      <c r="S19" s="247"/>
      <c r="X19" s="147"/>
      <c r="Y19" s="147"/>
      <c r="Z19" s="147"/>
      <c r="AA19" s="147"/>
      <c r="AB19" s="147"/>
      <c r="AC19" s="147"/>
      <c r="AD19" s="147"/>
      <c r="AE19" s="147"/>
      <c r="AF19" s="147"/>
      <c r="AG19" s="147"/>
      <c r="AH19" s="147"/>
      <c r="AI19" s="147"/>
      <c r="AJ19" s="147"/>
      <c r="AK19" s="147"/>
      <c r="AL19" s="147"/>
      <c r="AM19" s="147"/>
      <c r="AN19" s="147"/>
      <c r="AO19" s="147"/>
    </row>
    <row r="20" spans="1:43" s="204" customFormat="1" ht="19.5" customHeight="1" x14ac:dyDescent="0.2">
      <c r="A20" s="156" t="s">
        <v>118</v>
      </c>
      <c r="B20" s="241"/>
      <c r="C20" s="242"/>
      <c r="D20" s="243"/>
      <c r="E20" s="242"/>
      <c r="F20" s="243"/>
      <c r="G20" s="242"/>
      <c r="H20" s="253"/>
      <c r="I20" s="254"/>
      <c r="J20" s="255"/>
      <c r="K20" s="256"/>
      <c r="L20" s="255"/>
      <c r="M20" s="256"/>
      <c r="N20" s="257"/>
      <c r="O20" s="254"/>
      <c r="P20" s="258" t="str">
        <f t="shared" si="5"/>
        <v/>
      </c>
      <c r="Q20" s="259" t="str">
        <f t="shared" si="5"/>
        <v/>
      </c>
      <c r="R20" s="260"/>
      <c r="S20" s="247"/>
      <c r="X20" s="147"/>
      <c r="Y20" s="147"/>
      <c r="Z20" s="147"/>
      <c r="AA20" s="147"/>
      <c r="AB20" s="147"/>
      <c r="AC20" s="147"/>
      <c r="AD20" s="147"/>
      <c r="AE20" s="147"/>
      <c r="AF20" s="147"/>
      <c r="AG20" s="147"/>
      <c r="AH20" s="147"/>
      <c r="AI20" s="147"/>
      <c r="AJ20" s="147"/>
      <c r="AK20" s="147"/>
      <c r="AL20" s="147"/>
      <c r="AM20" s="147"/>
      <c r="AN20" s="147"/>
      <c r="AO20" s="147"/>
    </row>
    <row r="21" spans="1:43" s="204" customFormat="1" ht="19.5" customHeight="1" x14ac:dyDescent="0.2">
      <c r="A21" s="156" t="s">
        <v>185</v>
      </c>
      <c r="B21" s="241"/>
      <c r="C21" s="242"/>
      <c r="D21" s="243"/>
      <c r="E21" s="242"/>
      <c r="F21" s="243"/>
      <c r="G21" s="242"/>
      <c r="H21" s="253"/>
      <c r="I21" s="254"/>
      <c r="J21" s="255"/>
      <c r="K21" s="256"/>
      <c r="L21" s="255"/>
      <c r="M21" s="256"/>
      <c r="N21" s="257"/>
      <c r="O21" s="254"/>
      <c r="P21" s="258" t="str">
        <f t="shared" si="5"/>
        <v/>
      </c>
      <c r="Q21" s="259" t="str">
        <f t="shared" si="5"/>
        <v/>
      </c>
      <c r="R21" s="260"/>
      <c r="S21" s="247"/>
      <c r="X21" s="147"/>
      <c r="Y21" s="147"/>
      <c r="Z21" s="147"/>
      <c r="AA21" s="147"/>
      <c r="AB21" s="147"/>
      <c r="AC21" s="147"/>
      <c r="AD21" s="147"/>
      <c r="AE21" s="147"/>
      <c r="AF21" s="147"/>
      <c r="AG21" s="147"/>
      <c r="AH21" s="147"/>
      <c r="AI21" s="147"/>
      <c r="AJ21" s="147"/>
      <c r="AK21" s="147"/>
      <c r="AL21" s="147"/>
      <c r="AM21" s="147"/>
      <c r="AN21" s="147"/>
      <c r="AO21" s="147"/>
    </row>
    <row r="22" spans="1:43" s="204" customFormat="1" ht="19.5" customHeight="1" x14ac:dyDescent="0.2">
      <c r="A22" s="156" t="s">
        <v>186</v>
      </c>
      <c r="B22" s="241"/>
      <c r="C22" s="242"/>
      <c r="D22" s="243"/>
      <c r="E22" s="242"/>
      <c r="F22" s="243"/>
      <c r="G22" s="242"/>
      <c r="H22" s="253"/>
      <c r="I22" s="254"/>
      <c r="J22" s="255"/>
      <c r="K22" s="256"/>
      <c r="L22" s="255"/>
      <c r="M22" s="256"/>
      <c r="N22" s="257"/>
      <c r="O22" s="254"/>
      <c r="P22" s="258" t="str">
        <f t="shared" si="5"/>
        <v/>
      </c>
      <c r="Q22" s="259" t="str">
        <f t="shared" si="5"/>
        <v/>
      </c>
      <c r="R22" s="260"/>
      <c r="S22" s="247"/>
      <c r="X22" s="147"/>
      <c r="Y22" s="147"/>
      <c r="Z22" s="147"/>
      <c r="AA22" s="147"/>
      <c r="AB22" s="147"/>
      <c r="AC22" s="147"/>
      <c r="AD22" s="147"/>
      <c r="AE22" s="147"/>
      <c r="AF22" s="147"/>
      <c r="AG22" s="147"/>
      <c r="AH22" s="147"/>
      <c r="AI22" s="147"/>
      <c r="AJ22" s="147"/>
      <c r="AK22" s="147"/>
      <c r="AL22" s="147"/>
      <c r="AM22" s="147"/>
      <c r="AN22" s="147"/>
      <c r="AO22" s="147"/>
    </row>
    <row r="23" spans="1:43" s="204" customFormat="1" ht="19.5" customHeight="1" thickBot="1" x14ac:dyDescent="0.25">
      <c r="A23" s="221" t="s">
        <v>3</v>
      </c>
      <c r="B23" s="248">
        <f t="shared" ref="B23:O23" si="6">SUM(B16:B22)</f>
        <v>0</v>
      </c>
      <c r="C23" s="249">
        <f t="shared" si="6"/>
        <v>0</v>
      </c>
      <c r="D23" s="250">
        <f t="shared" si="6"/>
        <v>0</v>
      </c>
      <c r="E23" s="251">
        <f t="shared" si="6"/>
        <v>0</v>
      </c>
      <c r="F23" s="250">
        <f t="shared" si="6"/>
        <v>0</v>
      </c>
      <c r="G23" s="249">
        <f t="shared" si="6"/>
        <v>0</v>
      </c>
      <c r="H23" s="248">
        <f t="shared" si="6"/>
        <v>0</v>
      </c>
      <c r="I23" s="249">
        <f t="shared" si="6"/>
        <v>0</v>
      </c>
      <c r="J23" s="250">
        <f t="shared" si="6"/>
        <v>0</v>
      </c>
      <c r="K23" s="251">
        <f t="shared" si="6"/>
        <v>0</v>
      </c>
      <c r="L23" s="250">
        <f t="shared" si="6"/>
        <v>0</v>
      </c>
      <c r="M23" s="249">
        <f t="shared" si="6"/>
        <v>0</v>
      </c>
      <c r="N23" s="250">
        <f t="shared" si="6"/>
        <v>0</v>
      </c>
      <c r="O23" s="251">
        <f t="shared" si="6"/>
        <v>0</v>
      </c>
      <c r="P23" s="248">
        <f>SUM(P16:P22)</f>
        <v>0</v>
      </c>
      <c r="Q23" s="249">
        <f>SUM(Q16:Q22)</f>
        <v>0</v>
      </c>
      <c r="R23" s="261">
        <f>SUM(R16:R22)</f>
        <v>0</v>
      </c>
      <c r="S23" s="262">
        <f>SUM(S16:S22)</f>
        <v>0</v>
      </c>
      <c r="X23" s="147"/>
      <c r="Y23" s="147"/>
      <c r="Z23" s="147"/>
      <c r="AA23" s="147"/>
      <c r="AB23" s="147"/>
      <c r="AC23" s="147"/>
      <c r="AD23" s="147"/>
      <c r="AE23" s="147"/>
      <c r="AF23" s="147"/>
      <c r="AG23" s="147"/>
      <c r="AH23" s="147"/>
      <c r="AI23" s="147"/>
      <c r="AJ23" s="147"/>
      <c r="AK23" s="147"/>
      <c r="AL23" s="147"/>
      <c r="AM23" s="147"/>
      <c r="AN23" s="147"/>
      <c r="AO23" s="147"/>
    </row>
    <row r="24" spans="1:43" s="204" customFormat="1" ht="13.5" customHeight="1" x14ac:dyDescent="0.2">
      <c r="A24" s="147"/>
      <c r="Z24" s="147"/>
      <c r="AA24" s="147"/>
      <c r="AB24" s="147"/>
      <c r="AC24" s="147"/>
      <c r="AD24" s="147"/>
      <c r="AE24" s="147"/>
      <c r="AF24" s="147"/>
      <c r="AG24" s="147"/>
      <c r="AH24" s="147"/>
      <c r="AI24" s="147"/>
      <c r="AJ24" s="147"/>
      <c r="AK24" s="147"/>
      <c r="AL24" s="147"/>
      <c r="AM24" s="147"/>
      <c r="AN24" s="147"/>
      <c r="AO24" s="147"/>
      <c r="AP24" s="147"/>
      <c r="AQ24" s="147"/>
    </row>
  </sheetData>
  <mergeCells count="23">
    <mergeCell ref="A13:A15"/>
    <mergeCell ref="B13:G13"/>
    <mergeCell ref="H13:O13"/>
    <mergeCell ref="P13:Q14"/>
    <mergeCell ref="A1:A3"/>
    <mergeCell ref="B1:I1"/>
    <mergeCell ref="J1:Q1"/>
    <mergeCell ref="B2:C2"/>
    <mergeCell ref="D2:E2"/>
    <mergeCell ref="F2:G2"/>
    <mergeCell ref="H2:I2"/>
    <mergeCell ref="J2:K2"/>
    <mergeCell ref="L2:M2"/>
    <mergeCell ref="N2:O2"/>
    <mergeCell ref="P2:Q2"/>
    <mergeCell ref="R13:S14"/>
    <mergeCell ref="B14:C14"/>
    <mergeCell ref="D14:E14"/>
    <mergeCell ref="F14:G14"/>
    <mergeCell ref="H14:I14"/>
    <mergeCell ref="J14:K14"/>
    <mergeCell ref="L14:M14"/>
    <mergeCell ref="N14:O14"/>
  </mergeCells>
  <conditionalFormatting sqref="Z24:IV65530 R24:Y65517 H24:Q65530 C14:G65530 H13:IR23 T1:IV12 R1:S1 C1:Q12 A1:B65530">
    <cfRule type="cellIs" dxfId="5" priority="1" stopIfTrue="1" operator="equal">
      <formula>0</formula>
    </cfRule>
  </conditionalFormatting>
  <printOptions horizontalCentered="1" verticalCentered="1"/>
  <pageMargins left="0" right="0" top="0.78740157480314965" bottom="0.59055118110236227" header="0.31496062992125984" footer="0.31496062992125984"/>
  <pageSetup paperSize="9" scale="85" orientation="landscape" r:id="rId1"/>
  <headerFooter alignWithMargins="0">
    <oddHeader>&amp;CXIII. Kerületi Egészségügyi Szolgálat Közhasznú Nonprofit Kft.2014. I. félév átlagos állományi (státusz) létszáma foglalkoztatási jogviszonyok szerinti bontásban&amp;R6. sz. melléklet</oddHeader>
    <oddFooter>&amp;L&amp;D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4"/>
  <sheetViews>
    <sheetView topLeftCell="A24" zoomScaleNormal="100" workbookViewId="0">
      <selection activeCell="S24" sqref="S24"/>
    </sheetView>
  </sheetViews>
  <sheetFormatPr defaultRowHeight="21" customHeight="1" x14ac:dyDescent="0.2"/>
  <cols>
    <col min="1" max="1" width="22.28515625" style="147" customWidth="1"/>
    <col min="2" max="25" width="6.7109375" style="204" customWidth="1"/>
    <col min="26" max="256" width="9.140625" style="147"/>
    <col min="257" max="257" width="22.28515625" style="147" customWidth="1"/>
    <col min="258" max="281" width="6.7109375" style="147" customWidth="1"/>
    <col min="282" max="512" width="9.140625" style="147"/>
    <col min="513" max="513" width="22.28515625" style="147" customWidth="1"/>
    <col min="514" max="537" width="6.7109375" style="147" customWidth="1"/>
    <col min="538" max="768" width="9.140625" style="147"/>
    <col min="769" max="769" width="22.28515625" style="147" customWidth="1"/>
    <col min="770" max="793" width="6.7109375" style="147" customWidth="1"/>
    <col min="794" max="1024" width="9.140625" style="147"/>
    <col min="1025" max="1025" width="22.28515625" style="147" customWidth="1"/>
    <col min="1026" max="1049" width="6.7109375" style="147" customWidth="1"/>
    <col min="1050" max="1280" width="9.140625" style="147"/>
    <col min="1281" max="1281" width="22.28515625" style="147" customWidth="1"/>
    <col min="1282" max="1305" width="6.7109375" style="147" customWidth="1"/>
    <col min="1306" max="1536" width="9.140625" style="147"/>
    <col min="1537" max="1537" width="22.28515625" style="147" customWidth="1"/>
    <col min="1538" max="1561" width="6.7109375" style="147" customWidth="1"/>
    <col min="1562" max="1792" width="9.140625" style="147"/>
    <col min="1793" max="1793" width="22.28515625" style="147" customWidth="1"/>
    <col min="1794" max="1817" width="6.7109375" style="147" customWidth="1"/>
    <col min="1818" max="2048" width="9.140625" style="147"/>
    <col min="2049" max="2049" width="22.28515625" style="147" customWidth="1"/>
    <col min="2050" max="2073" width="6.7109375" style="147" customWidth="1"/>
    <col min="2074" max="2304" width="9.140625" style="147"/>
    <col min="2305" max="2305" width="22.28515625" style="147" customWidth="1"/>
    <col min="2306" max="2329" width="6.7109375" style="147" customWidth="1"/>
    <col min="2330" max="2560" width="9.140625" style="147"/>
    <col min="2561" max="2561" width="22.28515625" style="147" customWidth="1"/>
    <col min="2562" max="2585" width="6.7109375" style="147" customWidth="1"/>
    <col min="2586" max="2816" width="9.140625" style="147"/>
    <col min="2817" max="2817" width="22.28515625" style="147" customWidth="1"/>
    <col min="2818" max="2841" width="6.7109375" style="147" customWidth="1"/>
    <col min="2842" max="3072" width="9.140625" style="147"/>
    <col min="3073" max="3073" width="22.28515625" style="147" customWidth="1"/>
    <col min="3074" max="3097" width="6.7109375" style="147" customWidth="1"/>
    <col min="3098" max="3328" width="9.140625" style="147"/>
    <col min="3329" max="3329" width="22.28515625" style="147" customWidth="1"/>
    <col min="3330" max="3353" width="6.7109375" style="147" customWidth="1"/>
    <col min="3354" max="3584" width="9.140625" style="147"/>
    <col min="3585" max="3585" width="22.28515625" style="147" customWidth="1"/>
    <col min="3586" max="3609" width="6.7109375" style="147" customWidth="1"/>
    <col min="3610" max="3840" width="9.140625" style="147"/>
    <col min="3841" max="3841" width="22.28515625" style="147" customWidth="1"/>
    <col min="3842" max="3865" width="6.7109375" style="147" customWidth="1"/>
    <col min="3866" max="4096" width="9.140625" style="147"/>
    <col min="4097" max="4097" width="22.28515625" style="147" customWidth="1"/>
    <col min="4098" max="4121" width="6.7109375" style="147" customWidth="1"/>
    <col min="4122" max="4352" width="9.140625" style="147"/>
    <col min="4353" max="4353" width="22.28515625" style="147" customWidth="1"/>
    <col min="4354" max="4377" width="6.7109375" style="147" customWidth="1"/>
    <col min="4378" max="4608" width="9.140625" style="147"/>
    <col min="4609" max="4609" width="22.28515625" style="147" customWidth="1"/>
    <col min="4610" max="4633" width="6.7109375" style="147" customWidth="1"/>
    <col min="4634" max="4864" width="9.140625" style="147"/>
    <col min="4865" max="4865" width="22.28515625" style="147" customWidth="1"/>
    <col min="4866" max="4889" width="6.7109375" style="147" customWidth="1"/>
    <col min="4890" max="5120" width="9.140625" style="147"/>
    <col min="5121" max="5121" width="22.28515625" style="147" customWidth="1"/>
    <col min="5122" max="5145" width="6.7109375" style="147" customWidth="1"/>
    <col min="5146" max="5376" width="9.140625" style="147"/>
    <col min="5377" max="5377" width="22.28515625" style="147" customWidth="1"/>
    <col min="5378" max="5401" width="6.7109375" style="147" customWidth="1"/>
    <col min="5402" max="5632" width="9.140625" style="147"/>
    <col min="5633" max="5633" width="22.28515625" style="147" customWidth="1"/>
    <col min="5634" max="5657" width="6.7109375" style="147" customWidth="1"/>
    <col min="5658" max="5888" width="9.140625" style="147"/>
    <col min="5889" max="5889" width="22.28515625" style="147" customWidth="1"/>
    <col min="5890" max="5913" width="6.7109375" style="147" customWidth="1"/>
    <col min="5914" max="6144" width="9.140625" style="147"/>
    <col min="6145" max="6145" width="22.28515625" style="147" customWidth="1"/>
    <col min="6146" max="6169" width="6.7109375" style="147" customWidth="1"/>
    <col min="6170" max="6400" width="9.140625" style="147"/>
    <col min="6401" max="6401" width="22.28515625" style="147" customWidth="1"/>
    <col min="6402" max="6425" width="6.7109375" style="147" customWidth="1"/>
    <col min="6426" max="6656" width="9.140625" style="147"/>
    <col min="6657" max="6657" width="22.28515625" style="147" customWidth="1"/>
    <col min="6658" max="6681" width="6.7109375" style="147" customWidth="1"/>
    <col min="6682" max="6912" width="9.140625" style="147"/>
    <col min="6913" max="6913" width="22.28515625" style="147" customWidth="1"/>
    <col min="6914" max="6937" width="6.7109375" style="147" customWidth="1"/>
    <col min="6938" max="7168" width="9.140625" style="147"/>
    <col min="7169" max="7169" width="22.28515625" style="147" customWidth="1"/>
    <col min="7170" max="7193" width="6.7109375" style="147" customWidth="1"/>
    <col min="7194" max="7424" width="9.140625" style="147"/>
    <col min="7425" max="7425" width="22.28515625" style="147" customWidth="1"/>
    <col min="7426" max="7449" width="6.7109375" style="147" customWidth="1"/>
    <col min="7450" max="7680" width="9.140625" style="147"/>
    <col min="7681" max="7681" width="22.28515625" style="147" customWidth="1"/>
    <col min="7682" max="7705" width="6.7109375" style="147" customWidth="1"/>
    <col min="7706" max="7936" width="9.140625" style="147"/>
    <col min="7937" max="7937" width="22.28515625" style="147" customWidth="1"/>
    <col min="7938" max="7961" width="6.7109375" style="147" customWidth="1"/>
    <col min="7962" max="8192" width="9.140625" style="147"/>
    <col min="8193" max="8193" width="22.28515625" style="147" customWidth="1"/>
    <col min="8194" max="8217" width="6.7109375" style="147" customWidth="1"/>
    <col min="8218" max="8448" width="9.140625" style="147"/>
    <col min="8449" max="8449" width="22.28515625" style="147" customWidth="1"/>
    <col min="8450" max="8473" width="6.7109375" style="147" customWidth="1"/>
    <col min="8474" max="8704" width="9.140625" style="147"/>
    <col min="8705" max="8705" width="22.28515625" style="147" customWidth="1"/>
    <col min="8706" max="8729" width="6.7109375" style="147" customWidth="1"/>
    <col min="8730" max="8960" width="9.140625" style="147"/>
    <col min="8961" max="8961" width="22.28515625" style="147" customWidth="1"/>
    <col min="8962" max="8985" width="6.7109375" style="147" customWidth="1"/>
    <col min="8986" max="9216" width="9.140625" style="147"/>
    <col min="9217" max="9217" width="22.28515625" style="147" customWidth="1"/>
    <col min="9218" max="9241" width="6.7109375" style="147" customWidth="1"/>
    <col min="9242" max="9472" width="9.140625" style="147"/>
    <col min="9473" max="9473" width="22.28515625" style="147" customWidth="1"/>
    <col min="9474" max="9497" width="6.7109375" style="147" customWidth="1"/>
    <col min="9498" max="9728" width="9.140625" style="147"/>
    <col min="9729" max="9729" width="22.28515625" style="147" customWidth="1"/>
    <col min="9730" max="9753" width="6.7109375" style="147" customWidth="1"/>
    <col min="9754" max="9984" width="9.140625" style="147"/>
    <col min="9985" max="9985" width="22.28515625" style="147" customWidth="1"/>
    <col min="9986" max="10009" width="6.7109375" style="147" customWidth="1"/>
    <col min="10010" max="10240" width="9.140625" style="147"/>
    <col min="10241" max="10241" width="22.28515625" style="147" customWidth="1"/>
    <col min="10242" max="10265" width="6.7109375" style="147" customWidth="1"/>
    <col min="10266" max="10496" width="9.140625" style="147"/>
    <col min="10497" max="10497" width="22.28515625" style="147" customWidth="1"/>
    <col min="10498" max="10521" width="6.7109375" style="147" customWidth="1"/>
    <col min="10522" max="10752" width="9.140625" style="147"/>
    <col min="10753" max="10753" width="22.28515625" style="147" customWidth="1"/>
    <col min="10754" max="10777" width="6.7109375" style="147" customWidth="1"/>
    <col min="10778" max="11008" width="9.140625" style="147"/>
    <col min="11009" max="11009" width="22.28515625" style="147" customWidth="1"/>
    <col min="11010" max="11033" width="6.7109375" style="147" customWidth="1"/>
    <col min="11034" max="11264" width="9.140625" style="147"/>
    <col min="11265" max="11265" width="22.28515625" style="147" customWidth="1"/>
    <col min="11266" max="11289" width="6.7109375" style="147" customWidth="1"/>
    <col min="11290" max="11520" width="9.140625" style="147"/>
    <col min="11521" max="11521" width="22.28515625" style="147" customWidth="1"/>
    <col min="11522" max="11545" width="6.7109375" style="147" customWidth="1"/>
    <col min="11546" max="11776" width="9.140625" style="147"/>
    <col min="11777" max="11777" width="22.28515625" style="147" customWidth="1"/>
    <col min="11778" max="11801" width="6.7109375" style="147" customWidth="1"/>
    <col min="11802" max="12032" width="9.140625" style="147"/>
    <col min="12033" max="12033" width="22.28515625" style="147" customWidth="1"/>
    <col min="12034" max="12057" width="6.7109375" style="147" customWidth="1"/>
    <col min="12058" max="12288" width="9.140625" style="147"/>
    <col min="12289" max="12289" width="22.28515625" style="147" customWidth="1"/>
    <col min="12290" max="12313" width="6.7109375" style="147" customWidth="1"/>
    <col min="12314" max="12544" width="9.140625" style="147"/>
    <col min="12545" max="12545" width="22.28515625" style="147" customWidth="1"/>
    <col min="12546" max="12569" width="6.7109375" style="147" customWidth="1"/>
    <col min="12570" max="12800" width="9.140625" style="147"/>
    <col min="12801" max="12801" width="22.28515625" style="147" customWidth="1"/>
    <col min="12802" max="12825" width="6.7109375" style="147" customWidth="1"/>
    <col min="12826" max="13056" width="9.140625" style="147"/>
    <col min="13057" max="13057" width="22.28515625" style="147" customWidth="1"/>
    <col min="13058" max="13081" width="6.7109375" style="147" customWidth="1"/>
    <col min="13082" max="13312" width="9.140625" style="147"/>
    <col min="13313" max="13313" width="22.28515625" style="147" customWidth="1"/>
    <col min="13314" max="13337" width="6.7109375" style="147" customWidth="1"/>
    <col min="13338" max="13568" width="9.140625" style="147"/>
    <col min="13569" max="13569" width="22.28515625" style="147" customWidth="1"/>
    <col min="13570" max="13593" width="6.7109375" style="147" customWidth="1"/>
    <col min="13594" max="13824" width="9.140625" style="147"/>
    <col min="13825" max="13825" width="22.28515625" style="147" customWidth="1"/>
    <col min="13826" max="13849" width="6.7109375" style="147" customWidth="1"/>
    <col min="13850" max="14080" width="9.140625" style="147"/>
    <col min="14081" max="14081" width="22.28515625" style="147" customWidth="1"/>
    <col min="14082" max="14105" width="6.7109375" style="147" customWidth="1"/>
    <col min="14106" max="14336" width="9.140625" style="147"/>
    <col min="14337" max="14337" width="22.28515625" style="147" customWidth="1"/>
    <col min="14338" max="14361" width="6.7109375" style="147" customWidth="1"/>
    <col min="14362" max="14592" width="9.140625" style="147"/>
    <col min="14593" max="14593" width="22.28515625" style="147" customWidth="1"/>
    <col min="14594" max="14617" width="6.7109375" style="147" customWidth="1"/>
    <col min="14618" max="14848" width="9.140625" style="147"/>
    <col min="14849" max="14849" width="22.28515625" style="147" customWidth="1"/>
    <col min="14850" max="14873" width="6.7109375" style="147" customWidth="1"/>
    <col min="14874" max="15104" width="9.140625" style="147"/>
    <col min="15105" max="15105" width="22.28515625" style="147" customWidth="1"/>
    <col min="15106" max="15129" width="6.7109375" style="147" customWidth="1"/>
    <col min="15130" max="15360" width="9.140625" style="147"/>
    <col min="15361" max="15361" width="22.28515625" style="147" customWidth="1"/>
    <col min="15362" max="15385" width="6.7109375" style="147" customWidth="1"/>
    <col min="15386" max="15616" width="9.140625" style="147"/>
    <col min="15617" max="15617" width="22.28515625" style="147" customWidth="1"/>
    <col min="15618" max="15641" width="6.7109375" style="147" customWidth="1"/>
    <col min="15642" max="15872" width="9.140625" style="147"/>
    <col min="15873" max="15873" width="22.28515625" style="147" customWidth="1"/>
    <col min="15874" max="15897" width="6.7109375" style="147" customWidth="1"/>
    <col min="15898" max="16128" width="9.140625" style="147"/>
    <col min="16129" max="16129" width="22.28515625" style="147" customWidth="1"/>
    <col min="16130" max="16153" width="6.7109375" style="147" customWidth="1"/>
    <col min="16154" max="16384" width="9.140625" style="147"/>
  </cols>
  <sheetData>
    <row r="1" spans="1:43" ht="19.5" customHeight="1" x14ac:dyDescent="0.2">
      <c r="A1" s="530" t="s">
        <v>174</v>
      </c>
      <c r="B1" s="544" t="s">
        <v>175</v>
      </c>
      <c r="C1" s="535"/>
      <c r="D1" s="535"/>
      <c r="E1" s="535"/>
      <c r="F1" s="535"/>
      <c r="G1" s="535"/>
      <c r="H1" s="535"/>
      <c r="I1" s="536"/>
      <c r="J1" s="532" t="s">
        <v>212</v>
      </c>
      <c r="K1" s="533"/>
      <c r="L1" s="533"/>
      <c r="M1" s="533"/>
      <c r="N1" s="533"/>
      <c r="O1" s="533"/>
      <c r="P1" s="533"/>
      <c r="Q1" s="534"/>
      <c r="Z1" s="204"/>
      <c r="AA1" s="204"/>
      <c r="AB1" s="204"/>
      <c r="AC1" s="204"/>
      <c r="AD1" s="204"/>
      <c r="AE1" s="204"/>
      <c r="AF1" s="204"/>
      <c r="AG1" s="204"/>
      <c r="AH1" s="204"/>
      <c r="AI1" s="204"/>
      <c r="AJ1" s="204"/>
      <c r="AK1" s="204"/>
      <c r="AL1" s="204"/>
      <c r="AN1" s="204"/>
      <c r="AO1" s="204"/>
      <c r="AP1" s="204"/>
      <c r="AQ1" s="204"/>
    </row>
    <row r="2" spans="1:43" ht="24" customHeight="1" x14ac:dyDescent="0.2">
      <c r="A2" s="567"/>
      <c r="B2" s="552" t="s">
        <v>177</v>
      </c>
      <c r="C2" s="553"/>
      <c r="D2" s="554" t="s">
        <v>178</v>
      </c>
      <c r="E2" s="553"/>
      <c r="F2" s="554" t="s">
        <v>179</v>
      </c>
      <c r="G2" s="553"/>
      <c r="H2" s="554" t="s">
        <v>180</v>
      </c>
      <c r="I2" s="569"/>
      <c r="J2" s="555" t="s">
        <v>177</v>
      </c>
      <c r="K2" s="538"/>
      <c r="L2" s="538" t="s">
        <v>178</v>
      </c>
      <c r="M2" s="538"/>
      <c r="N2" s="538" t="s">
        <v>179</v>
      </c>
      <c r="O2" s="538"/>
      <c r="P2" s="538" t="s">
        <v>180</v>
      </c>
      <c r="Q2" s="556"/>
      <c r="T2" s="211"/>
      <c r="X2" s="147"/>
      <c r="Y2" s="147"/>
      <c r="AI2" s="204"/>
    </row>
    <row r="3" spans="1:43" s="204" customFormat="1" ht="24" customHeight="1" x14ac:dyDescent="0.2">
      <c r="A3" s="568"/>
      <c r="B3" s="212" t="s">
        <v>202</v>
      </c>
      <c r="C3" s="213" t="s">
        <v>203</v>
      </c>
      <c r="D3" s="293" t="str">
        <f t="shared" ref="D3:Q3" si="0">B3</f>
        <v>2014 terv</v>
      </c>
      <c r="E3" s="213" t="str">
        <f t="shared" si="0"/>
        <v>2014          tény</v>
      </c>
      <c r="F3" s="293" t="str">
        <f t="shared" si="0"/>
        <v>2014 terv</v>
      </c>
      <c r="G3" s="213" t="str">
        <f t="shared" si="0"/>
        <v>2014          tény</v>
      </c>
      <c r="H3" s="293" t="str">
        <f t="shared" si="0"/>
        <v>2014 terv</v>
      </c>
      <c r="I3" s="214" t="str">
        <f t="shared" si="0"/>
        <v>2014          tény</v>
      </c>
      <c r="J3" s="292" t="str">
        <f t="shared" si="0"/>
        <v>2014 terv</v>
      </c>
      <c r="K3" s="213" t="str">
        <f t="shared" si="0"/>
        <v>2014          tény</v>
      </c>
      <c r="L3" s="293" t="str">
        <f t="shared" si="0"/>
        <v>2014 terv</v>
      </c>
      <c r="M3" s="213" t="str">
        <f t="shared" si="0"/>
        <v>2014          tény</v>
      </c>
      <c r="N3" s="293" t="str">
        <f t="shared" si="0"/>
        <v>2014 terv</v>
      </c>
      <c r="O3" s="213" t="str">
        <f t="shared" si="0"/>
        <v>2014          tény</v>
      </c>
      <c r="P3" s="293" t="str">
        <f t="shared" si="0"/>
        <v>2014 terv</v>
      </c>
      <c r="Q3" s="215" t="str">
        <f t="shared" si="0"/>
        <v>2014          tény</v>
      </c>
      <c r="T3" s="211"/>
      <c r="X3" s="147"/>
      <c r="Y3" s="147"/>
    </row>
    <row r="4" spans="1:43" ht="19.5" customHeight="1" x14ac:dyDescent="0.2">
      <c r="A4" s="156" t="s">
        <v>181</v>
      </c>
      <c r="B4" s="241"/>
      <c r="C4" s="242"/>
      <c r="D4" s="243">
        <v>8</v>
      </c>
      <c r="E4" s="242">
        <v>8</v>
      </c>
      <c r="F4" s="243"/>
      <c r="G4" s="242"/>
      <c r="H4" s="243">
        <v>10</v>
      </c>
      <c r="I4" s="244">
        <v>9</v>
      </c>
      <c r="J4" s="245"/>
      <c r="K4" s="242"/>
      <c r="L4" s="243"/>
      <c r="M4" s="242"/>
      <c r="N4" s="243"/>
      <c r="O4" s="242"/>
      <c r="P4" s="246"/>
      <c r="Q4" s="247">
        <v>1.3</v>
      </c>
      <c r="T4" s="211"/>
    </row>
    <row r="5" spans="1:43" ht="19.5" customHeight="1" x14ac:dyDescent="0.2">
      <c r="A5" s="156" t="s">
        <v>182</v>
      </c>
      <c r="B5" s="241"/>
      <c r="C5" s="242"/>
      <c r="D5" s="243">
        <v>1</v>
      </c>
      <c r="E5" s="242">
        <v>0.5</v>
      </c>
      <c r="F5" s="243">
        <v>1</v>
      </c>
      <c r="G5" s="242">
        <v>1.2</v>
      </c>
      <c r="H5" s="243"/>
      <c r="I5" s="244"/>
      <c r="J5" s="245"/>
      <c r="K5" s="242"/>
      <c r="L5" s="243"/>
      <c r="M5" s="242"/>
      <c r="N5" s="243"/>
      <c r="O5" s="242"/>
      <c r="P5" s="246"/>
      <c r="Q5" s="247"/>
      <c r="T5" s="217"/>
      <c r="U5" s="218"/>
      <c r="V5" s="218"/>
      <c r="W5" s="218"/>
      <c r="X5" s="147"/>
      <c r="Y5" s="147"/>
    </row>
    <row r="6" spans="1:43" ht="19.5" customHeight="1" x14ac:dyDescent="0.2">
      <c r="A6" s="156" t="s">
        <v>183</v>
      </c>
      <c r="B6" s="241">
        <v>41</v>
      </c>
      <c r="C6" s="242">
        <v>39.9</v>
      </c>
      <c r="D6" s="243">
        <v>12</v>
      </c>
      <c r="E6" s="242">
        <v>10</v>
      </c>
      <c r="F6" s="243">
        <v>101</v>
      </c>
      <c r="G6" s="242">
        <v>96.3</v>
      </c>
      <c r="H6" s="243">
        <v>20</v>
      </c>
      <c r="I6" s="244">
        <v>19.7</v>
      </c>
      <c r="J6" s="245">
        <v>12</v>
      </c>
      <c r="K6" s="242">
        <v>13.9</v>
      </c>
      <c r="L6" s="243">
        <v>1.2</v>
      </c>
      <c r="M6" s="242">
        <v>0.6</v>
      </c>
      <c r="N6" s="243">
        <v>9.1999999999999993</v>
      </c>
      <c r="O6" s="242">
        <v>12.3</v>
      </c>
      <c r="P6" s="246">
        <v>2.5</v>
      </c>
      <c r="Q6" s="247">
        <v>2.2999999999999998</v>
      </c>
      <c r="T6" s="217"/>
      <c r="U6" s="218"/>
      <c r="V6" s="218"/>
      <c r="W6" s="218"/>
      <c r="X6" s="147"/>
      <c r="Y6" s="147"/>
    </row>
    <row r="7" spans="1:43" ht="19.5" customHeight="1" x14ac:dyDescent="0.2">
      <c r="A7" s="219" t="s">
        <v>184</v>
      </c>
      <c r="B7" s="241">
        <v>1</v>
      </c>
      <c r="C7" s="242">
        <v>2</v>
      </c>
      <c r="D7" s="243">
        <v>1</v>
      </c>
      <c r="E7" s="242">
        <v>1</v>
      </c>
      <c r="F7" s="243">
        <v>7</v>
      </c>
      <c r="G7" s="242">
        <v>6</v>
      </c>
      <c r="H7" s="243"/>
      <c r="I7" s="244">
        <v>1.9</v>
      </c>
      <c r="J7" s="245">
        <v>0.1</v>
      </c>
      <c r="K7" s="242">
        <v>0.1</v>
      </c>
      <c r="L7" s="243"/>
      <c r="M7" s="242"/>
      <c r="N7" s="243"/>
      <c r="O7" s="242"/>
      <c r="P7" s="246"/>
      <c r="Q7" s="247"/>
      <c r="T7" s="217"/>
      <c r="U7" s="220"/>
      <c r="V7" s="220"/>
      <c r="W7" s="220"/>
      <c r="X7" s="147"/>
      <c r="Y7" s="147"/>
    </row>
    <row r="8" spans="1:43" ht="19.5" customHeight="1" x14ac:dyDescent="0.2">
      <c r="A8" s="219" t="s">
        <v>118</v>
      </c>
      <c r="B8" s="241">
        <v>1</v>
      </c>
      <c r="C8" s="242">
        <v>1</v>
      </c>
      <c r="D8" s="243"/>
      <c r="E8" s="242"/>
      <c r="F8" s="243">
        <v>2</v>
      </c>
      <c r="G8" s="242">
        <v>2</v>
      </c>
      <c r="H8" s="243"/>
      <c r="I8" s="244"/>
      <c r="J8" s="245"/>
      <c r="K8" s="242"/>
      <c r="L8" s="243"/>
      <c r="M8" s="242"/>
      <c r="N8" s="243"/>
      <c r="O8" s="242"/>
      <c r="P8" s="246"/>
      <c r="Q8" s="247"/>
      <c r="T8" s="217"/>
      <c r="X8" s="147"/>
      <c r="Y8" s="147"/>
    </row>
    <row r="9" spans="1:43" ht="19.5" customHeight="1" x14ac:dyDescent="0.2">
      <c r="A9" s="156" t="s">
        <v>185</v>
      </c>
      <c r="B9" s="241"/>
      <c r="C9" s="242"/>
      <c r="D9" s="243">
        <v>42</v>
      </c>
      <c r="E9" s="242">
        <v>39.4</v>
      </c>
      <c r="F9" s="243"/>
      <c r="G9" s="242"/>
      <c r="H9" s="243"/>
      <c r="I9" s="244"/>
      <c r="J9" s="245"/>
      <c r="K9" s="242"/>
      <c r="L9" s="243"/>
      <c r="M9" s="242"/>
      <c r="N9" s="243"/>
      <c r="O9" s="242"/>
      <c r="P9" s="246"/>
      <c r="Q9" s="247"/>
      <c r="T9" s="217"/>
      <c r="X9" s="147"/>
      <c r="Y9" s="147"/>
    </row>
    <row r="10" spans="1:43" ht="19.5" customHeight="1" x14ac:dyDescent="0.2">
      <c r="A10" s="156" t="s">
        <v>186</v>
      </c>
      <c r="B10" s="241">
        <v>5</v>
      </c>
      <c r="C10" s="242">
        <v>3.9</v>
      </c>
      <c r="D10" s="243"/>
      <c r="E10" s="242"/>
      <c r="F10" s="243"/>
      <c r="G10" s="242"/>
      <c r="H10" s="243"/>
      <c r="I10" s="244"/>
      <c r="J10" s="245"/>
      <c r="K10" s="242"/>
      <c r="L10" s="243"/>
      <c r="M10" s="242"/>
      <c r="N10" s="243"/>
      <c r="O10" s="242"/>
      <c r="P10" s="246"/>
      <c r="Q10" s="247"/>
      <c r="T10" s="217"/>
      <c r="X10" s="147"/>
      <c r="Y10" s="147"/>
    </row>
    <row r="11" spans="1:43" ht="19.5" customHeight="1" thickBot="1" x14ac:dyDescent="0.25">
      <c r="A11" s="221" t="s">
        <v>3</v>
      </c>
      <c r="B11" s="248">
        <f t="shared" ref="B11:Q11" si="1">SUM(B4:B10)</f>
        <v>48</v>
      </c>
      <c r="C11" s="249">
        <f t="shared" si="1"/>
        <v>46.8</v>
      </c>
      <c r="D11" s="250">
        <f t="shared" si="1"/>
        <v>64</v>
      </c>
      <c r="E11" s="251">
        <f t="shared" si="1"/>
        <v>58.9</v>
      </c>
      <c r="F11" s="250">
        <f t="shared" si="1"/>
        <v>111</v>
      </c>
      <c r="G11" s="249">
        <f t="shared" si="1"/>
        <v>105.5</v>
      </c>
      <c r="H11" s="250">
        <f t="shared" si="1"/>
        <v>30</v>
      </c>
      <c r="I11" s="251">
        <f t="shared" si="1"/>
        <v>30.599999999999998</v>
      </c>
      <c r="J11" s="248">
        <f t="shared" si="1"/>
        <v>12.1</v>
      </c>
      <c r="K11" s="249">
        <f t="shared" si="1"/>
        <v>14</v>
      </c>
      <c r="L11" s="250">
        <f t="shared" si="1"/>
        <v>1.2</v>
      </c>
      <c r="M11" s="251">
        <f t="shared" si="1"/>
        <v>0.6</v>
      </c>
      <c r="N11" s="250">
        <f t="shared" si="1"/>
        <v>9.1999999999999993</v>
      </c>
      <c r="O11" s="249">
        <f t="shared" si="1"/>
        <v>12.3</v>
      </c>
      <c r="P11" s="250">
        <f t="shared" si="1"/>
        <v>2.5</v>
      </c>
      <c r="Q11" s="252">
        <f t="shared" si="1"/>
        <v>3.5999999999999996</v>
      </c>
      <c r="T11" s="217"/>
      <c r="X11" s="147"/>
      <c r="Y11" s="147"/>
    </row>
    <row r="12" spans="1:43" ht="13.5" customHeight="1" thickBot="1" x14ac:dyDescent="0.25">
      <c r="T12" s="217"/>
      <c r="X12" s="147"/>
      <c r="Y12" s="147"/>
    </row>
    <row r="13" spans="1:43" ht="24" customHeight="1" x14ac:dyDescent="0.2">
      <c r="A13" s="557" t="s">
        <v>174</v>
      </c>
      <c r="B13" s="544" t="s">
        <v>213</v>
      </c>
      <c r="C13" s="535"/>
      <c r="D13" s="535"/>
      <c r="E13" s="535"/>
      <c r="F13" s="535"/>
      <c r="G13" s="535"/>
      <c r="H13" s="535"/>
      <c r="I13" s="536"/>
      <c r="J13" s="532" t="s">
        <v>3</v>
      </c>
      <c r="K13" s="533"/>
      <c r="L13" s="533"/>
      <c r="M13" s="533"/>
      <c r="N13" s="533"/>
      <c r="O13" s="533"/>
      <c r="P13" s="533"/>
      <c r="Q13" s="534"/>
      <c r="R13" s="563" t="s">
        <v>3</v>
      </c>
      <c r="S13" s="564"/>
      <c r="T13" s="548" t="s">
        <v>188</v>
      </c>
      <c r="U13" s="549"/>
    </row>
    <row r="14" spans="1:43" ht="24" customHeight="1" x14ac:dyDescent="0.2">
      <c r="A14" s="558"/>
      <c r="B14" s="552" t="s">
        <v>177</v>
      </c>
      <c r="C14" s="553"/>
      <c r="D14" s="554" t="s">
        <v>178</v>
      </c>
      <c r="E14" s="553"/>
      <c r="F14" s="554" t="s">
        <v>179</v>
      </c>
      <c r="G14" s="553"/>
      <c r="H14" s="538" t="s">
        <v>180</v>
      </c>
      <c r="I14" s="556"/>
      <c r="J14" s="555" t="s">
        <v>177</v>
      </c>
      <c r="K14" s="538"/>
      <c r="L14" s="538" t="s">
        <v>178</v>
      </c>
      <c r="M14" s="538"/>
      <c r="N14" s="538" t="s">
        <v>179</v>
      </c>
      <c r="O14" s="538"/>
      <c r="P14" s="538" t="s">
        <v>180</v>
      </c>
      <c r="Q14" s="556"/>
      <c r="R14" s="565"/>
      <c r="S14" s="566"/>
      <c r="T14" s="550"/>
      <c r="U14" s="551"/>
    </row>
    <row r="15" spans="1:43" s="204" customFormat="1" ht="24" customHeight="1" x14ac:dyDescent="0.2">
      <c r="A15" s="559"/>
      <c r="B15" s="212" t="str">
        <f t="shared" ref="B15:G15" si="2">B3</f>
        <v>2014 terv</v>
      </c>
      <c r="C15" s="214" t="str">
        <f t="shared" si="2"/>
        <v>2014          tény</v>
      </c>
      <c r="D15" s="216" t="str">
        <f t="shared" si="2"/>
        <v>2014 terv</v>
      </c>
      <c r="E15" s="214" t="str">
        <f t="shared" si="2"/>
        <v>2014          tény</v>
      </c>
      <c r="F15" s="216" t="str">
        <f t="shared" si="2"/>
        <v>2014 terv</v>
      </c>
      <c r="G15" s="214" t="str">
        <f t="shared" si="2"/>
        <v>2014          tény</v>
      </c>
      <c r="H15" s="293" t="str">
        <f t="shared" ref="H15:I15" si="3">F15</f>
        <v>2014 terv</v>
      </c>
      <c r="I15" s="215" t="str">
        <f t="shared" si="3"/>
        <v>2014          tény</v>
      </c>
      <c r="J15" s="212" t="str">
        <f t="shared" ref="J15:O15" si="4">L3</f>
        <v>2014 terv</v>
      </c>
      <c r="K15" s="214" t="str">
        <f t="shared" si="4"/>
        <v>2014          tény</v>
      </c>
      <c r="L15" s="216" t="str">
        <f t="shared" si="4"/>
        <v>2014 terv</v>
      </c>
      <c r="M15" s="214" t="str">
        <f t="shared" si="4"/>
        <v>2014          tény</v>
      </c>
      <c r="N15" s="216" t="str">
        <f t="shared" si="4"/>
        <v>2014 terv</v>
      </c>
      <c r="O15" s="214" t="str">
        <f t="shared" si="4"/>
        <v>2014          tény</v>
      </c>
      <c r="P15" s="216" t="str">
        <f t="shared" ref="P15:U15" si="5">N15</f>
        <v>2014 terv</v>
      </c>
      <c r="Q15" s="214" t="str">
        <f t="shared" si="5"/>
        <v>2014          tény</v>
      </c>
      <c r="R15" s="212" t="str">
        <f t="shared" si="5"/>
        <v>2014 terv</v>
      </c>
      <c r="S15" s="214" t="str">
        <f t="shared" si="5"/>
        <v>2014          tény</v>
      </c>
      <c r="T15" s="292" t="str">
        <f t="shared" si="5"/>
        <v>2014 terv</v>
      </c>
      <c r="U15" s="215" t="str">
        <f t="shared" si="5"/>
        <v>2014          tény</v>
      </c>
    </row>
    <row r="16" spans="1:43" s="204" customFormat="1" ht="19.5" customHeight="1" x14ac:dyDescent="0.2">
      <c r="A16" s="156" t="s">
        <v>181</v>
      </c>
      <c r="B16" s="241"/>
      <c r="C16" s="242"/>
      <c r="D16" s="243"/>
      <c r="E16" s="242"/>
      <c r="F16" s="243"/>
      <c r="G16" s="242"/>
      <c r="H16" s="246"/>
      <c r="I16" s="247"/>
      <c r="J16" s="253">
        <f t="shared" ref="J16:Q22" si="6">SUM(B4,J4,B16)</f>
        <v>0</v>
      </c>
      <c r="K16" s="254">
        <f t="shared" si="6"/>
        <v>0</v>
      </c>
      <c r="L16" s="255">
        <f t="shared" si="6"/>
        <v>8</v>
      </c>
      <c r="M16" s="256">
        <f t="shared" si="6"/>
        <v>8</v>
      </c>
      <c r="N16" s="255">
        <f t="shared" si="6"/>
        <v>0</v>
      </c>
      <c r="O16" s="256">
        <f t="shared" si="6"/>
        <v>0</v>
      </c>
      <c r="P16" s="255">
        <f t="shared" si="6"/>
        <v>10</v>
      </c>
      <c r="Q16" s="256">
        <f t="shared" si="6"/>
        <v>10.3</v>
      </c>
      <c r="R16" s="258">
        <f t="shared" ref="R16:S22" si="7">IF(SUM(J16,L16,N16,P16)&gt;0,SUM(J16,L16,N16,P16),"")</f>
        <v>18</v>
      </c>
      <c r="S16" s="259">
        <f t="shared" si="7"/>
        <v>18.3</v>
      </c>
      <c r="T16" s="260">
        <v>0.4</v>
      </c>
      <c r="U16" s="247">
        <v>0.4</v>
      </c>
      <c r="Z16" s="147"/>
      <c r="AA16" s="147"/>
      <c r="AB16" s="147"/>
      <c r="AC16" s="147"/>
      <c r="AD16" s="147"/>
      <c r="AE16" s="147"/>
      <c r="AF16" s="147"/>
      <c r="AG16" s="147"/>
      <c r="AH16" s="147"/>
      <c r="AI16" s="147"/>
      <c r="AJ16" s="147"/>
      <c r="AK16" s="147"/>
      <c r="AL16" s="147"/>
      <c r="AM16" s="147"/>
      <c r="AN16" s="147"/>
      <c r="AO16" s="147"/>
      <c r="AP16" s="147"/>
      <c r="AQ16" s="147"/>
    </row>
    <row r="17" spans="1:43" s="204" customFormat="1" ht="19.5" customHeight="1" x14ac:dyDescent="0.2">
      <c r="A17" s="156" t="s">
        <v>182</v>
      </c>
      <c r="B17" s="241"/>
      <c r="C17" s="242"/>
      <c r="D17" s="243"/>
      <c r="E17" s="242"/>
      <c r="F17" s="243"/>
      <c r="G17" s="242"/>
      <c r="H17" s="246"/>
      <c r="I17" s="247"/>
      <c r="J17" s="253">
        <f t="shared" si="6"/>
        <v>0</v>
      </c>
      <c r="K17" s="254">
        <f t="shared" si="6"/>
        <v>0</v>
      </c>
      <c r="L17" s="255">
        <f t="shared" si="6"/>
        <v>1</v>
      </c>
      <c r="M17" s="256">
        <f t="shared" si="6"/>
        <v>0.5</v>
      </c>
      <c r="N17" s="255">
        <f t="shared" si="6"/>
        <v>1</v>
      </c>
      <c r="O17" s="256">
        <f t="shared" si="6"/>
        <v>1.2</v>
      </c>
      <c r="P17" s="255">
        <f t="shared" si="6"/>
        <v>0</v>
      </c>
      <c r="Q17" s="256">
        <f t="shared" si="6"/>
        <v>0</v>
      </c>
      <c r="R17" s="258">
        <f t="shared" si="7"/>
        <v>2</v>
      </c>
      <c r="S17" s="259">
        <f t="shared" si="7"/>
        <v>1.7</v>
      </c>
      <c r="T17" s="260"/>
      <c r="U17" s="247"/>
      <c r="Z17" s="147"/>
      <c r="AA17" s="147"/>
      <c r="AB17" s="147"/>
      <c r="AC17" s="147"/>
      <c r="AD17" s="147"/>
      <c r="AE17" s="147"/>
      <c r="AF17" s="147"/>
      <c r="AG17" s="147"/>
      <c r="AH17" s="147"/>
      <c r="AI17" s="147"/>
      <c r="AJ17" s="147"/>
      <c r="AK17" s="147"/>
      <c r="AL17" s="147"/>
      <c r="AM17" s="147"/>
      <c r="AN17" s="147"/>
      <c r="AO17" s="147"/>
      <c r="AP17" s="147"/>
      <c r="AQ17" s="147"/>
    </row>
    <row r="18" spans="1:43" s="204" customFormat="1" ht="19.5" customHeight="1" x14ac:dyDescent="0.2">
      <c r="A18" s="156" t="s">
        <v>183</v>
      </c>
      <c r="B18" s="241">
        <v>3.6</v>
      </c>
      <c r="C18" s="242">
        <v>3.4</v>
      </c>
      <c r="D18" s="243">
        <v>0.2</v>
      </c>
      <c r="E18" s="242">
        <v>0.2</v>
      </c>
      <c r="F18" s="243"/>
      <c r="G18" s="242"/>
      <c r="H18" s="246"/>
      <c r="I18" s="247"/>
      <c r="J18" s="253">
        <f t="shared" si="6"/>
        <v>56.6</v>
      </c>
      <c r="K18" s="254">
        <f t="shared" si="6"/>
        <v>57.199999999999996</v>
      </c>
      <c r="L18" s="255">
        <f t="shared" si="6"/>
        <v>13.399999999999999</v>
      </c>
      <c r="M18" s="256">
        <f>SUM(E6,M6,E18)</f>
        <v>10.799999999999999</v>
      </c>
      <c r="N18" s="255">
        <f t="shared" si="6"/>
        <v>110.2</v>
      </c>
      <c r="O18" s="256">
        <f t="shared" si="6"/>
        <v>108.6</v>
      </c>
      <c r="P18" s="255">
        <f t="shared" si="6"/>
        <v>22.5</v>
      </c>
      <c r="Q18" s="256">
        <f t="shared" si="6"/>
        <v>22</v>
      </c>
      <c r="R18" s="258">
        <f>IF(SUM(J18,L18,N18,P18)&gt;0,SUM(J18,L18,N18,P18),"")</f>
        <v>202.7</v>
      </c>
      <c r="S18" s="259">
        <f t="shared" si="7"/>
        <v>198.6</v>
      </c>
      <c r="T18" s="260">
        <v>1.5</v>
      </c>
      <c r="U18" s="247">
        <v>1.5</v>
      </c>
      <c r="Z18" s="147"/>
      <c r="AA18" s="147"/>
      <c r="AB18" s="147"/>
      <c r="AC18" s="147"/>
      <c r="AD18" s="147"/>
      <c r="AE18" s="147"/>
      <c r="AF18" s="147"/>
      <c r="AG18" s="147"/>
      <c r="AH18" s="147"/>
      <c r="AI18" s="147"/>
      <c r="AJ18" s="147"/>
      <c r="AK18" s="147"/>
      <c r="AL18" s="147"/>
      <c r="AM18" s="147"/>
      <c r="AN18" s="147"/>
      <c r="AO18" s="147"/>
      <c r="AP18" s="147"/>
      <c r="AQ18" s="147"/>
    </row>
    <row r="19" spans="1:43" s="204" customFormat="1" ht="19.5" customHeight="1" x14ac:dyDescent="0.2">
      <c r="A19" s="219" t="s">
        <v>184</v>
      </c>
      <c r="B19" s="241">
        <v>0.2</v>
      </c>
      <c r="C19" s="242">
        <v>0.2</v>
      </c>
      <c r="D19" s="243"/>
      <c r="E19" s="242"/>
      <c r="F19" s="243"/>
      <c r="G19" s="242"/>
      <c r="H19" s="246"/>
      <c r="I19" s="247"/>
      <c r="J19" s="253">
        <f t="shared" si="6"/>
        <v>1.3</v>
      </c>
      <c r="K19" s="254">
        <f t="shared" si="6"/>
        <v>2.3000000000000003</v>
      </c>
      <c r="L19" s="255">
        <f t="shared" si="6"/>
        <v>1</v>
      </c>
      <c r="M19" s="256">
        <f t="shared" si="6"/>
        <v>1</v>
      </c>
      <c r="N19" s="255">
        <f t="shared" si="6"/>
        <v>7</v>
      </c>
      <c r="O19" s="256">
        <f t="shared" si="6"/>
        <v>6</v>
      </c>
      <c r="P19" s="255">
        <f t="shared" si="6"/>
        <v>0</v>
      </c>
      <c r="Q19" s="256">
        <f t="shared" si="6"/>
        <v>1.9</v>
      </c>
      <c r="R19" s="258">
        <f t="shared" si="7"/>
        <v>9.3000000000000007</v>
      </c>
      <c r="S19" s="259">
        <f t="shared" si="7"/>
        <v>11.200000000000001</v>
      </c>
      <c r="T19" s="260"/>
      <c r="U19" s="247"/>
      <c r="Z19" s="147"/>
      <c r="AA19" s="147"/>
      <c r="AB19" s="147"/>
      <c r="AC19" s="147"/>
      <c r="AD19" s="147"/>
      <c r="AE19" s="147"/>
      <c r="AF19" s="147"/>
      <c r="AG19" s="147"/>
      <c r="AH19" s="147"/>
      <c r="AI19" s="147"/>
      <c r="AJ19" s="147"/>
      <c r="AK19" s="147"/>
      <c r="AL19" s="147"/>
      <c r="AM19" s="147"/>
      <c r="AN19" s="147"/>
      <c r="AO19" s="147"/>
      <c r="AP19" s="147"/>
      <c r="AQ19" s="147"/>
    </row>
    <row r="20" spans="1:43" s="204" customFormat="1" ht="19.5" customHeight="1" x14ac:dyDescent="0.2">
      <c r="A20" s="219" t="s">
        <v>118</v>
      </c>
      <c r="B20" s="241">
        <v>1</v>
      </c>
      <c r="C20" s="242">
        <v>1</v>
      </c>
      <c r="D20" s="243"/>
      <c r="E20" s="242"/>
      <c r="F20" s="243"/>
      <c r="G20" s="242"/>
      <c r="H20" s="246"/>
      <c r="I20" s="247"/>
      <c r="J20" s="253">
        <f t="shared" si="6"/>
        <v>2</v>
      </c>
      <c r="K20" s="254">
        <f t="shared" si="6"/>
        <v>2</v>
      </c>
      <c r="L20" s="255">
        <f t="shared" si="6"/>
        <v>0</v>
      </c>
      <c r="M20" s="256">
        <f t="shared" si="6"/>
        <v>0</v>
      </c>
      <c r="N20" s="255">
        <f t="shared" si="6"/>
        <v>2</v>
      </c>
      <c r="O20" s="256">
        <f t="shared" si="6"/>
        <v>2</v>
      </c>
      <c r="P20" s="255">
        <f t="shared" si="6"/>
        <v>0</v>
      </c>
      <c r="Q20" s="256">
        <f t="shared" si="6"/>
        <v>0</v>
      </c>
      <c r="R20" s="258">
        <f t="shared" si="7"/>
        <v>4</v>
      </c>
      <c r="S20" s="259">
        <f t="shared" si="7"/>
        <v>4</v>
      </c>
      <c r="T20" s="260"/>
      <c r="U20" s="247"/>
      <c r="Z20" s="147"/>
      <c r="AA20" s="147"/>
      <c r="AB20" s="147"/>
      <c r="AC20" s="147"/>
      <c r="AD20" s="147"/>
      <c r="AE20" s="147"/>
      <c r="AF20" s="147"/>
      <c r="AG20" s="147"/>
      <c r="AH20" s="147"/>
      <c r="AI20" s="147"/>
      <c r="AJ20" s="147"/>
      <c r="AK20" s="147"/>
      <c r="AL20" s="147"/>
      <c r="AM20" s="147"/>
      <c r="AN20" s="147"/>
      <c r="AO20" s="147"/>
      <c r="AP20" s="147"/>
      <c r="AQ20" s="147"/>
    </row>
    <row r="21" spans="1:43" s="204" customFormat="1" ht="19.5" customHeight="1" x14ac:dyDescent="0.2">
      <c r="A21" s="156" t="s">
        <v>185</v>
      </c>
      <c r="B21" s="241"/>
      <c r="C21" s="242"/>
      <c r="D21" s="243"/>
      <c r="E21" s="242"/>
      <c r="F21" s="243"/>
      <c r="G21" s="242"/>
      <c r="H21" s="246"/>
      <c r="I21" s="247"/>
      <c r="J21" s="253">
        <f t="shared" si="6"/>
        <v>0</v>
      </c>
      <c r="K21" s="254">
        <f t="shared" si="6"/>
        <v>0</v>
      </c>
      <c r="L21" s="255">
        <f t="shared" si="6"/>
        <v>42</v>
      </c>
      <c r="M21" s="256">
        <f t="shared" si="6"/>
        <v>39.4</v>
      </c>
      <c r="N21" s="255">
        <f t="shared" si="6"/>
        <v>0</v>
      </c>
      <c r="O21" s="256">
        <f t="shared" si="6"/>
        <v>0</v>
      </c>
      <c r="P21" s="255">
        <f t="shared" si="6"/>
        <v>0</v>
      </c>
      <c r="Q21" s="256">
        <f t="shared" si="6"/>
        <v>0</v>
      </c>
      <c r="R21" s="258">
        <f t="shared" si="7"/>
        <v>42</v>
      </c>
      <c r="S21" s="259">
        <f t="shared" si="7"/>
        <v>39.4</v>
      </c>
      <c r="T21" s="260">
        <v>0.5</v>
      </c>
      <c r="U21" s="247">
        <v>0.5</v>
      </c>
      <c r="Z21" s="147"/>
      <c r="AA21" s="147"/>
      <c r="AB21" s="147"/>
      <c r="AC21" s="147"/>
      <c r="AD21" s="147"/>
      <c r="AE21" s="147"/>
      <c r="AF21" s="147"/>
      <c r="AG21" s="147"/>
      <c r="AH21" s="147"/>
      <c r="AI21" s="147"/>
      <c r="AJ21" s="147"/>
      <c r="AK21" s="147"/>
      <c r="AL21" s="147"/>
      <c r="AM21" s="147"/>
      <c r="AN21" s="147"/>
      <c r="AO21" s="147"/>
      <c r="AP21" s="147"/>
      <c r="AQ21" s="147"/>
    </row>
    <row r="22" spans="1:43" s="204" customFormat="1" ht="19.5" customHeight="1" x14ac:dyDescent="0.2">
      <c r="A22" s="156" t="s">
        <v>186</v>
      </c>
      <c r="B22" s="241"/>
      <c r="C22" s="242"/>
      <c r="D22" s="243"/>
      <c r="E22" s="242"/>
      <c r="F22" s="243"/>
      <c r="G22" s="242"/>
      <c r="H22" s="246"/>
      <c r="I22" s="247"/>
      <c r="J22" s="253">
        <f t="shared" si="6"/>
        <v>5</v>
      </c>
      <c r="K22" s="254">
        <f t="shared" si="6"/>
        <v>3.9</v>
      </c>
      <c r="L22" s="255">
        <f t="shared" si="6"/>
        <v>0</v>
      </c>
      <c r="M22" s="256">
        <f t="shared" si="6"/>
        <v>0</v>
      </c>
      <c r="N22" s="255">
        <f t="shared" si="6"/>
        <v>0</v>
      </c>
      <c r="O22" s="256">
        <f t="shared" si="6"/>
        <v>0</v>
      </c>
      <c r="P22" s="255">
        <f t="shared" si="6"/>
        <v>0</v>
      </c>
      <c r="Q22" s="256">
        <f t="shared" si="6"/>
        <v>0</v>
      </c>
      <c r="R22" s="258">
        <f t="shared" si="7"/>
        <v>5</v>
      </c>
      <c r="S22" s="259">
        <f t="shared" si="7"/>
        <v>3.9</v>
      </c>
      <c r="T22" s="260"/>
      <c r="U22" s="247"/>
      <c r="Z22" s="147"/>
      <c r="AA22" s="147"/>
      <c r="AB22" s="147"/>
      <c r="AC22" s="147"/>
      <c r="AD22" s="147"/>
      <c r="AE22" s="147"/>
      <c r="AF22" s="147"/>
      <c r="AG22" s="147"/>
      <c r="AH22" s="147"/>
      <c r="AI22" s="147"/>
      <c r="AJ22" s="147"/>
      <c r="AK22" s="147"/>
      <c r="AL22" s="147"/>
      <c r="AM22" s="147"/>
      <c r="AN22" s="147"/>
      <c r="AO22" s="147"/>
      <c r="AP22" s="147"/>
      <c r="AQ22" s="147"/>
    </row>
    <row r="23" spans="1:43" s="204" customFormat="1" ht="19.5" customHeight="1" thickBot="1" x14ac:dyDescent="0.25">
      <c r="A23" s="221" t="s">
        <v>3</v>
      </c>
      <c r="B23" s="248">
        <f t="shared" ref="B23:Q23" si="8">SUM(B16:B22)</f>
        <v>4.8000000000000007</v>
      </c>
      <c r="C23" s="249">
        <f t="shared" si="8"/>
        <v>4.5999999999999996</v>
      </c>
      <c r="D23" s="250">
        <f t="shared" si="8"/>
        <v>0.2</v>
      </c>
      <c r="E23" s="251">
        <f t="shared" si="8"/>
        <v>0.2</v>
      </c>
      <c r="F23" s="250">
        <f t="shared" si="8"/>
        <v>0</v>
      </c>
      <c r="G23" s="249">
        <f t="shared" si="8"/>
        <v>0</v>
      </c>
      <c r="H23" s="250">
        <f t="shared" si="8"/>
        <v>0</v>
      </c>
      <c r="I23" s="252">
        <f t="shared" si="8"/>
        <v>0</v>
      </c>
      <c r="J23" s="248">
        <f t="shared" si="8"/>
        <v>64.900000000000006</v>
      </c>
      <c r="K23" s="249">
        <f t="shared" si="8"/>
        <v>65.399999999999991</v>
      </c>
      <c r="L23" s="250">
        <f t="shared" si="8"/>
        <v>65.400000000000006</v>
      </c>
      <c r="M23" s="251">
        <f t="shared" si="8"/>
        <v>59.699999999999996</v>
      </c>
      <c r="N23" s="250">
        <f t="shared" si="8"/>
        <v>120.2</v>
      </c>
      <c r="O23" s="249">
        <f t="shared" si="8"/>
        <v>117.8</v>
      </c>
      <c r="P23" s="250">
        <f t="shared" si="8"/>
        <v>32.5</v>
      </c>
      <c r="Q23" s="251">
        <f t="shared" si="8"/>
        <v>34.199999999999996</v>
      </c>
      <c r="R23" s="248">
        <f>SUM(R16:R22)</f>
        <v>283</v>
      </c>
      <c r="S23" s="249">
        <f>SUM(S16:S22)</f>
        <v>277.09999999999997</v>
      </c>
      <c r="T23" s="261">
        <f>SUM(T16:T22)</f>
        <v>2.4</v>
      </c>
      <c r="U23" s="262">
        <f>SUM(U16:U22)</f>
        <v>2.4</v>
      </c>
      <c r="Z23" s="147"/>
      <c r="AA23" s="147"/>
      <c r="AB23" s="147"/>
      <c r="AC23" s="147"/>
      <c r="AD23" s="147"/>
      <c r="AE23" s="147"/>
      <c r="AF23" s="147"/>
      <c r="AG23" s="147"/>
      <c r="AH23" s="147"/>
      <c r="AI23" s="147"/>
      <c r="AJ23" s="147"/>
      <c r="AK23" s="147"/>
      <c r="AL23" s="147"/>
      <c r="AM23" s="147"/>
      <c r="AN23" s="147"/>
      <c r="AO23" s="147"/>
      <c r="AP23" s="147"/>
      <c r="AQ23" s="147"/>
    </row>
    <row r="24" spans="1:43" s="204" customFormat="1" ht="13.5" customHeight="1" x14ac:dyDescent="0.2">
      <c r="A24" s="147"/>
      <c r="Z24" s="147"/>
      <c r="AA24" s="147"/>
      <c r="AB24" s="147"/>
      <c r="AC24" s="147"/>
      <c r="AD24" s="147"/>
      <c r="AE24" s="147"/>
      <c r="AF24" s="147"/>
      <c r="AG24" s="147"/>
      <c r="AH24" s="147"/>
      <c r="AI24" s="147"/>
      <c r="AJ24" s="147"/>
      <c r="AK24" s="147"/>
      <c r="AL24" s="147"/>
      <c r="AM24" s="147"/>
      <c r="AN24" s="147"/>
      <c r="AO24" s="147"/>
      <c r="AP24" s="147"/>
      <c r="AQ24" s="147"/>
    </row>
  </sheetData>
  <mergeCells count="24">
    <mergeCell ref="A1:A3"/>
    <mergeCell ref="B1:I1"/>
    <mergeCell ref="J1:Q1"/>
    <mergeCell ref="B2:C2"/>
    <mergeCell ref="D2:E2"/>
    <mergeCell ref="F2:G2"/>
    <mergeCell ref="H2:I2"/>
    <mergeCell ref="J2:K2"/>
    <mergeCell ref="L2:M2"/>
    <mergeCell ref="N2:O2"/>
    <mergeCell ref="P2:Q2"/>
    <mergeCell ref="A13:A15"/>
    <mergeCell ref="B13:I13"/>
    <mergeCell ref="J13:Q13"/>
    <mergeCell ref="R13:S14"/>
    <mergeCell ref="T13:U14"/>
    <mergeCell ref="B14:C14"/>
    <mergeCell ref="D14:E14"/>
    <mergeCell ref="F14:G14"/>
    <mergeCell ref="H14:I14"/>
    <mergeCell ref="J14:K14"/>
    <mergeCell ref="L14:M14"/>
    <mergeCell ref="N14:O14"/>
    <mergeCell ref="P14:Q14"/>
  </mergeCells>
  <conditionalFormatting sqref="R13 V13:IT23 T13 R15:U23 Z24:IV65530 H24:Q65530 R24:Y65517 C14:G65530 R1:S1 T1:IV12 C1:Q12 A1:B65530 H14:I23 J13:Q23">
    <cfRule type="cellIs" dxfId="4" priority="1" stopIfTrue="1" operator="equal">
      <formula>0</formula>
    </cfRule>
  </conditionalFormatting>
  <printOptions horizontalCentered="1" verticalCentered="1"/>
  <pageMargins left="0" right="0" top="0.78740157480314965" bottom="0.59055118110236227" header="0.31496062992125984" footer="0.31496062992125984"/>
  <pageSetup paperSize="9" scale="85" orientation="landscape" r:id="rId1"/>
  <headerFooter alignWithMargins="0">
    <oddHeader>&amp;CXIII. Kerületi Egészségügyi Szolgálat Közhasznú Nonprofit Kft.2014. év statisztikai létszáma foglalkoztatási jogviszonyok szerinti bontásban&amp;R6. sz. melléklet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topLeftCell="E1" zoomScale="85" zoomScaleNormal="85" workbookViewId="0">
      <selection activeCell="O1" sqref="O1"/>
    </sheetView>
  </sheetViews>
  <sheetFormatPr defaultRowHeight="16.5" customHeight="1" x14ac:dyDescent="0.2"/>
  <cols>
    <col min="1" max="1" width="3.42578125" style="41" customWidth="1"/>
    <col min="2" max="2" width="49" style="42" customWidth="1"/>
    <col min="3" max="5" width="14.7109375" style="42" customWidth="1"/>
    <col min="6" max="7" width="14.7109375" style="8" customWidth="1"/>
    <col min="8" max="8" width="13" style="24" customWidth="1"/>
    <col min="9" max="10" width="14.7109375" style="8" customWidth="1"/>
    <col min="11" max="11" width="13" style="24" customWidth="1"/>
    <col min="12" max="13" width="13.5703125" style="8" customWidth="1"/>
    <col min="14" max="14" width="13.5703125" style="24" customWidth="1"/>
    <col min="15" max="16384" width="9.140625" style="8"/>
  </cols>
  <sheetData>
    <row r="1" spans="1:14" ht="22.5" customHeight="1" x14ac:dyDescent="0.2">
      <c r="A1" s="573"/>
      <c r="B1" s="574"/>
      <c r="C1" s="532" t="s">
        <v>225</v>
      </c>
      <c r="D1" s="533"/>
      <c r="E1" s="534"/>
      <c r="F1" s="570" t="s">
        <v>201</v>
      </c>
      <c r="G1" s="571"/>
      <c r="H1" s="572"/>
      <c r="I1" s="535" t="s">
        <v>226</v>
      </c>
      <c r="J1" s="535"/>
      <c r="K1" s="535"/>
      <c r="L1" s="544" t="s">
        <v>227</v>
      </c>
      <c r="M1" s="535"/>
      <c r="N1" s="536"/>
    </row>
    <row r="2" spans="1:14" ht="51" customHeight="1" x14ac:dyDescent="0.2">
      <c r="A2" s="575"/>
      <c r="B2" s="576"/>
      <c r="C2" s="233" t="s">
        <v>18</v>
      </c>
      <c r="D2" s="232" t="s">
        <v>19</v>
      </c>
      <c r="E2" s="35" t="s">
        <v>3</v>
      </c>
      <c r="F2" s="61" t="s">
        <v>18</v>
      </c>
      <c r="G2" s="33" t="s">
        <v>19</v>
      </c>
      <c r="H2" s="34" t="s">
        <v>3</v>
      </c>
      <c r="I2" s="61" t="s">
        <v>18</v>
      </c>
      <c r="J2" s="1" t="s">
        <v>19</v>
      </c>
      <c r="K2" s="35" t="s">
        <v>3</v>
      </c>
      <c r="L2" s="32" t="s">
        <v>18</v>
      </c>
      <c r="M2" s="36" t="s">
        <v>19</v>
      </c>
      <c r="N2" s="37" t="s">
        <v>3</v>
      </c>
    </row>
    <row r="3" spans="1:14" s="42" customFormat="1" ht="18" customHeight="1" x14ac:dyDescent="0.2">
      <c r="A3" s="38">
        <v>1</v>
      </c>
      <c r="B3" s="97" t="s">
        <v>20</v>
      </c>
      <c r="C3" s="67">
        <v>648791</v>
      </c>
      <c r="D3" s="66">
        <v>10541</v>
      </c>
      <c r="E3" s="12">
        <f>SUM(C3:D3)</f>
        <v>659332</v>
      </c>
      <c r="F3" s="68">
        <v>679401</v>
      </c>
      <c r="G3" s="66">
        <v>8460</v>
      </c>
      <c r="H3" s="12">
        <f>SUM(F3:G3)</f>
        <v>687861</v>
      </c>
      <c r="I3" s="280">
        <v>646338</v>
      </c>
      <c r="J3" s="271">
        <f>7578+80</f>
        <v>7658</v>
      </c>
      <c r="K3" s="82">
        <f>SUM(I3:J3)</f>
        <v>653996</v>
      </c>
      <c r="L3" s="62">
        <f>I3/F3</f>
        <v>0.95133507310115828</v>
      </c>
      <c r="M3" s="60">
        <f>J3/G3</f>
        <v>0.90520094562647757</v>
      </c>
      <c r="N3" s="16">
        <f>K3/H3</f>
        <v>0.95076766963092829</v>
      </c>
    </row>
    <row r="4" spans="1:14" s="42" customFormat="1" ht="18" customHeight="1" x14ac:dyDescent="0.2">
      <c r="A4" s="38"/>
      <c r="B4" s="97" t="s">
        <v>87</v>
      </c>
      <c r="C4" s="67">
        <v>23659</v>
      </c>
      <c r="D4" s="66"/>
      <c r="E4" s="12">
        <f>SUM(C4:D4)</f>
        <v>23659</v>
      </c>
      <c r="F4" s="68"/>
      <c r="G4" s="66"/>
      <c r="H4" s="12">
        <f t="shared" ref="H4:H20" si="0">SUM(F4:G4)</f>
        <v>0</v>
      </c>
      <c r="I4" s="280">
        <v>21539</v>
      </c>
      <c r="J4" s="271"/>
      <c r="K4" s="82">
        <f t="shared" ref="K4:K42" si="1">SUM(I4:J4)</f>
        <v>21539</v>
      </c>
      <c r="L4" s="62"/>
      <c r="M4" s="60"/>
      <c r="N4" s="16"/>
    </row>
    <row r="5" spans="1:14" s="42" customFormat="1" ht="18" customHeight="1" x14ac:dyDescent="0.2">
      <c r="A5" s="38"/>
      <c r="B5" s="97" t="s">
        <v>191</v>
      </c>
      <c r="C5" s="67">
        <v>63522</v>
      </c>
      <c r="D5" s="66"/>
      <c r="E5" s="12">
        <f>SUM(C5:D5)</f>
        <v>63522</v>
      </c>
      <c r="F5" s="68">
        <v>107827</v>
      </c>
      <c r="G5" s="66"/>
      <c r="H5" s="12">
        <f t="shared" si="0"/>
        <v>107827</v>
      </c>
      <c r="I5" s="280">
        <v>88945</v>
      </c>
      <c r="J5" s="271"/>
      <c r="K5" s="82">
        <f t="shared" si="1"/>
        <v>88945</v>
      </c>
      <c r="L5" s="62">
        <f t="shared" ref="L5" si="2">I5/F5</f>
        <v>0.82488616023815931</v>
      </c>
      <c r="M5" s="60"/>
      <c r="N5" s="16">
        <f t="shared" ref="N5" si="3">K5/H5</f>
        <v>0.82488616023815931</v>
      </c>
    </row>
    <row r="6" spans="1:14" s="42" customFormat="1" ht="18" customHeight="1" x14ac:dyDescent="0.2">
      <c r="A6" s="38"/>
      <c r="B6" s="97" t="s">
        <v>208</v>
      </c>
      <c r="C6" s="67">
        <v>29547</v>
      </c>
      <c r="D6" s="66"/>
      <c r="E6" s="12">
        <f t="shared" ref="E6:E20" si="4">SUM(C6:D6)</f>
        <v>29547</v>
      </c>
      <c r="F6" s="68"/>
      <c r="G6" s="66"/>
      <c r="H6" s="12">
        <f t="shared" si="0"/>
        <v>0</v>
      </c>
      <c r="I6" s="280"/>
      <c r="J6" s="271"/>
      <c r="K6" s="82">
        <f t="shared" si="1"/>
        <v>0</v>
      </c>
      <c r="L6" s="62"/>
      <c r="M6" s="60"/>
      <c r="N6" s="16"/>
    </row>
    <row r="7" spans="1:14" s="42" customFormat="1" ht="18" customHeight="1" x14ac:dyDescent="0.2">
      <c r="A7" s="38"/>
      <c r="B7" s="97" t="s">
        <v>222</v>
      </c>
      <c r="C7" s="67">
        <v>932</v>
      </c>
      <c r="D7" s="66"/>
      <c r="E7" s="12">
        <f t="shared" si="4"/>
        <v>932</v>
      </c>
      <c r="F7" s="68">
        <v>14808</v>
      </c>
      <c r="G7" s="66"/>
      <c r="H7" s="12">
        <f t="shared" si="0"/>
        <v>14808</v>
      </c>
      <c r="I7" s="280">
        <v>5744</v>
      </c>
      <c r="J7" s="271"/>
      <c r="K7" s="82">
        <f t="shared" si="1"/>
        <v>5744</v>
      </c>
      <c r="L7" s="62">
        <f t="shared" ref="L7" si="5">I7/F7</f>
        <v>0.38789843327930851</v>
      </c>
      <c r="M7" s="60"/>
      <c r="N7" s="16">
        <f t="shared" ref="N7" si="6">K7/H7</f>
        <v>0.38789843327930851</v>
      </c>
    </row>
    <row r="8" spans="1:14" s="42" customFormat="1" ht="18" customHeight="1" x14ac:dyDescent="0.2">
      <c r="A8" s="38"/>
      <c r="B8" s="97" t="s">
        <v>223</v>
      </c>
      <c r="C8" s="67">
        <v>5717</v>
      </c>
      <c r="D8" s="66"/>
      <c r="E8" s="12">
        <f t="shared" si="4"/>
        <v>5717</v>
      </c>
      <c r="F8" s="68"/>
      <c r="G8" s="66"/>
      <c r="H8" s="12">
        <f t="shared" si="0"/>
        <v>0</v>
      </c>
      <c r="I8" s="280"/>
      <c r="J8" s="271"/>
      <c r="K8" s="82">
        <f t="shared" si="1"/>
        <v>0</v>
      </c>
      <c r="L8" s="62"/>
      <c r="M8" s="60"/>
      <c r="N8" s="16"/>
    </row>
    <row r="9" spans="1:14" s="42" customFormat="1" ht="18" customHeight="1" x14ac:dyDescent="0.2">
      <c r="A9" s="38"/>
      <c r="B9" s="97" t="s">
        <v>192</v>
      </c>
      <c r="C9" s="67">
        <v>252</v>
      </c>
      <c r="D9" s="66"/>
      <c r="E9" s="12">
        <f t="shared" si="4"/>
        <v>252</v>
      </c>
      <c r="F9" s="68"/>
      <c r="G9" s="66"/>
      <c r="H9" s="12">
        <f t="shared" si="0"/>
        <v>0</v>
      </c>
      <c r="I9" s="280"/>
      <c r="J9" s="271"/>
      <c r="K9" s="82">
        <f t="shared" si="1"/>
        <v>0</v>
      </c>
      <c r="L9" s="62"/>
      <c r="M9" s="60"/>
      <c r="N9" s="16"/>
    </row>
    <row r="10" spans="1:14" s="42" customFormat="1" ht="18" customHeight="1" x14ac:dyDescent="0.2">
      <c r="A10" s="38">
        <v>2</v>
      </c>
      <c r="B10" s="97" t="s">
        <v>21</v>
      </c>
      <c r="C10" s="67">
        <v>31134</v>
      </c>
      <c r="D10" s="66"/>
      <c r="E10" s="12">
        <f t="shared" si="4"/>
        <v>31134</v>
      </c>
      <c r="F10" s="68">
        <v>35720</v>
      </c>
      <c r="G10" s="18"/>
      <c r="H10" s="12">
        <f t="shared" si="0"/>
        <v>35720</v>
      </c>
      <c r="I10" s="280">
        <v>33628</v>
      </c>
      <c r="J10" s="271"/>
      <c r="K10" s="82">
        <f t="shared" si="1"/>
        <v>33628</v>
      </c>
      <c r="L10" s="62">
        <f t="shared" ref="L10:L18" si="7">I10/F10</f>
        <v>0.94143337066069432</v>
      </c>
      <c r="M10" s="60"/>
      <c r="N10" s="16">
        <f t="shared" ref="N10:N18" si="8">K10/H10</f>
        <v>0.94143337066069432</v>
      </c>
    </row>
    <row r="11" spans="1:14" s="42" customFormat="1" ht="18" customHeight="1" x14ac:dyDescent="0.2">
      <c r="A11" s="38"/>
      <c r="B11" s="97" t="s">
        <v>209</v>
      </c>
      <c r="C11" s="67"/>
      <c r="D11" s="66"/>
      <c r="E11" s="12">
        <f t="shared" si="4"/>
        <v>0</v>
      </c>
      <c r="F11" s="68"/>
      <c r="G11" s="18"/>
      <c r="H11" s="12">
        <f t="shared" si="0"/>
        <v>0</v>
      </c>
      <c r="I11" s="280">
        <v>11459</v>
      </c>
      <c r="J11" s="271"/>
      <c r="K11" s="82">
        <f t="shared" si="1"/>
        <v>11459</v>
      </c>
      <c r="L11" s="62"/>
      <c r="M11" s="60"/>
      <c r="N11" s="16"/>
    </row>
    <row r="12" spans="1:14" s="39" customFormat="1" ht="18" customHeight="1" x14ac:dyDescent="0.2">
      <c r="A12" s="38">
        <v>3</v>
      </c>
      <c r="B12" s="98" t="s">
        <v>71</v>
      </c>
      <c r="C12" s="67">
        <v>2220</v>
      </c>
      <c r="D12" s="49"/>
      <c r="E12" s="12">
        <f t="shared" si="4"/>
        <v>2220</v>
      </c>
      <c r="F12" s="68">
        <v>2856</v>
      </c>
      <c r="G12" s="18"/>
      <c r="H12" s="12">
        <f t="shared" si="0"/>
        <v>2856</v>
      </c>
      <c r="I12" s="280">
        <v>2464</v>
      </c>
      <c r="J12" s="281"/>
      <c r="K12" s="82">
        <f t="shared" si="1"/>
        <v>2464</v>
      </c>
      <c r="L12" s="62">
        <f t="shared" si="7"/>
        <v>0.86274509803921573</v>
      </c>
      <c r="M12" s="60"/>
      <c r="N12" s="16">
        <f t="shared" si="8"/>
        <v>0.86274509803921573</v>
      </c>
    </row>
    <row r="13" spans="1:14" s="39" customFormat="1" ht="18" customHeight="1" x14ac:dyDescent="0.2">
      <c r="A13" s="38">
        <v>4</v>
      </c>
      <c r="B13" s="98" t="s">
        <v>72</v>
      </c>
      <c r="C13" s="67">
        <v>4651</v>
      </c>
      <c r="D13" s="49"/>
      <c r="E13" s="12">
        <f t="shared" si="4"/>
        <v>4651</v>
      </c>
      <c r="F13" s="68">
        <v>6000</v>
      </c>
      <c r="G13" s="18"/>
      <c r="H13" s="12">
        <f t="shared" si="0"/>
        <v>6000</v>
      </c>
      <c r="I13" s="280">
        <v>5215</v>
      </c>
      <c r="J13" s="281"/>
      <c r="K13" s="82">
        <f t="shared" si="1"/>
        <v>5215</v>
      </c>
      <c r="L13" s="62">
        <f t="shared" si="7"/>
        <v>0.86916666666666664</v>
      </c>
      <c r="M13" s="60"/>
      <c r="N13" s="16">
        <f t="shared" si="8"/>
        <v>0.86916666666666664</v>
      </c>
    </row>
    <row r="14" spans="1:14" s="42" customFormat="1" ht="18" customHeight="1" x14ac:dyDescent="0.2">
      <c r="A14" s="38">
        <v>5</v>
      </c>
      <c r="B14" s="98" t="s">
        <v>22</v>
      </c>
      <c r="C14" s="67">
        <v>17270</v>
      </c>
      <c r="D14" s="66"/>
      <c r="E14" s="12">
        <f t="shared" si="4"/>
        <v>17270</v>
      </c>
      <c r="F14" s="68">
        <v>20864</v>
      </c>
      <c r="G14" s="18"/>
      <c r="H14" s="12">
        <f t="shared" si="0"/>
        <v>20864</v>
      </c>
      <c r="I14" s="280">
        <v>20650</v>
      </c>
      <c r="J14" s="271"/>
      <c r="K14" s="82">
        <f t="shared" si="1"/>
        <v>20650</v>
      </c>
      <c r="L14" s="62">
        <f t="shared" si="7"/>
        <v>0.98974309815950923</v>
      </c>
      <c r="M14" s="60"/>
      <c r="N14" s="16">
        <f t="shared" si="8"/>
        <v>0.98974309815950923</v>
      </c>
    </row>
    <row r="15" spans="1:14" s="42" customFormat="1" ht="18" customHeight="1" x14ac:dyDescent="0.2">
      <c r="A15" s="38"/>
      <c r="B15" s="98" t="s">
        <v>193</v>
      </c>
      <c r="C15" s="67">
        <v>11194</v>
      </c>
      <c r="D15" s="66"/>
      <c r="E15" s="12">
        <f t="shared" si="4"/>
        <v>11194</v>
      </c>
      <c r="F15" s="68"/>
      <c r="G15" s="18"/>
      <c r="H15" s="12">
        <f t="shared" si="0"/>
        <v>0</v>
      </c>
      <c r="I15" s="280">
        <v>11605</v>
      </c>
      <c r="J15" s="271"/>
      <c r="K15" s="82">
        <f t="shared" si="1"/>
        <v>11605</v>
      </c>
      <c r="L15" s="62"/>
      <c r="M15" s="60"/>
      <c r="N15" s="16"/>
    </row>
    <row r="16" spans="1:14" s="42" customFormat="1" ht="18" customHeight="1" x14ac:dyDescent="0.2">
      <c r="A16" s="38">
        <v>6</v>
      </c>
      <c r="B16" s="98" t="s">
        <v>23</v>
      </c>
      <c r="C16" s="67">
        <v>13451</v>
      </c>
      <c r="D16" s="66"/>
      <c r="E16" s="12">
        <f t="shared" si="4"/>
        <v>13451</v>
      </c>
      <c r="F16" s="68">
        <v>16912</v>
      </c>
      <c r="G16" s="18"/>
      <c r="H16" s="12">
        <f t="shared" si="0"/>
        <v>16912</v>
      </c>
      <c r="I16" s="280">
        <v>40316</v>
      </c>
      <c r="J16" s="271"/>
      <c r="K16" s="82">
        <f t="shared" si="1"/>
        <v>40316</v>
      </c>
      <c r="L16" s="62">
        <f t="shared" si="7"/>
        <v>2.3838694418164619</v>
      </c>
      <c r="M16" s="60"/>
      <c r="N16" s="16">
        <f t="shared" si="8"/>
        <v>2.3838694418164619</v>
      </c>
    </row>
    <row r="17" spans="1:14" s="42" customFormat="1" ht="18" customHeight="1" x14ac:dyDescent="0.2">
      <c r="A17" s="38">
        <v>7</v>
      </c>
      <c r="B17" s="98" t="s">
        <v>24</v>
      </c>
      <c r="C17" s="67">
        <v>9431</v>
      </c>
      <c r="D17" s="66"/>
      <c r="E17" s="12">
        <f t="shared" si="4"/>
        <v>9431</v>
      </c>
      <c r="F17" s="68"/>
      <c r="G17" s="18"/>
      <c r="H17" s="12">
        <f t="shared" si="0"/>
        <v>0</v>
      </c>
      <c r="I17" s="280">
        <v>7529</v>
      </c>
      <c r="J17" s="271"/>
      <c r="K17" s="82">
        <f t="shared" si="1"/>
        <v>7529</v>
      </c>
      <c r="L17" s="62"/>
      <c r="M17" s="60"/>
      <c r="N17" s="16"/>
    </row>
    <row r="18" spans="1:14" s="39" customFormat="1" ht="18" customHeight="1" x14ac:dyDescent="0.2">
      <c r="A18" s="38">
        <v>8</v>
      </c>
      <c r="B18" s="98" t="s">
        <v>25</v>
      </c>
      <c r="C18" s="67">
        <v>9831</v>
      </c>
      <c r="D18" s="49"/>
      <c r="E18" s="12">
        <f t="shared" si="4"/>
        <v>9831</v>
      </c>
      <c r="F18" s="68">
        <v>9392</v>
      </c>
      <c r="G18" s="18"/>
      <c r="H18" s="12">
        <f t="shared" si="0"/>
        <v>9392</v>
      </c>
      <c r="I18" s="280">
        <v>8357</v>
      </c>
      <c r="J18" s="281"/>
      <c r="K18" s="82">
        <f t="shared" si="1"/>
        <v>8357</v>
      </c>
      <c r="L18" s="62">
        <f t="shared" si="7"/>
        <v>0.88979982964224869</v>
      </c>
      <c r="M18" s="60"/>
      <c r="N18" s="16">
        <f t="shared" si="8"/>
        <v>0.88979982964224869</v>
      </c>
    </row>
    <row r="19" spans="1:14" s="42" customFormat="1" ht="18" customHeight="1" x14ac:dyDescent="0.2">
      <c r="A19" s="38">
        <v>9</v>
      </c>
      <c r="B19" s="98" t="s">
        <v>44</v>
      </c>
      <c r="C19" s="67">
        <v>2488</v>
      </c>
      <c r="D19" s="66"/>
      <c r="E19" s="12">
        <f t="shared" si="4"/>
        <v>2488</v>
      </c>
      <c r="F19" s="68"/>
      <c r="G19" s="18"/>
      <c r="H19" s="12">
        <f t="shared" si="0"/>
        <v>0</v>
      </c>
      <c r="I19" s="280">
        <v>1867</v>
      </c>
      <c r="J19" s="271"/>
      <c r="K19" s="82">
        <f t="shared" si="1"/>
        <v>1867</v>
      </c>
      <c r="L19" s="62"/>
      <c r="M19" s="60"/>
      <c r="N19" s="16"/>
    </row>
    <row r="20" spans="1:14" s="42" customFormat="1" ht="18" customHeight="1" x14ac:dyDescent="0.2">
      <c r="A20" s="38"/>
      <c r="B20" s="98" t="s">
        <v>210</v>
      </c>
      <c r="C20" s="67">
        <v>1500</v>
      </c>
      <c r="D20" s="66"/>
      <c r="E20" s="12">
        <f t="shared" si="4"/>
        <v>1500</v>
      </c>
      <c r="F20" s="68"/>
      <c r="G20" s="18"/>
      <c r="H20" s="12">
        <f t="shared" si="0"/>
        <v>0</v>
      </c>
      <c r="I20" s="270">
        <v>364</v>
      </c>
      <c r="J20" s="271"/>
      <c r="K20" s="82">
        <f t="shared" si="1"/>
        <v>364</v>
      </c>
      <c r="L20" s="62"/>
      <c r="M20" s="60"/>
      <c r="N20" s="16"/>
    </row>
    <row r="21" spans="1:14" s="24" customFormat="1" ht="18" customHeight="1" x14ac:dyDescent="0.2">
      <c r="A21" s="38">
        <v>10</v>
      </c>
      <c r="B21" s="99" t="s">
        <v>45</v>
      </c>
      <c r="C21" s="10">
        <f t="shared" ref="C21:H21" si="9">SUM(C3:C20)</f>
        <v>875590</v>
      </c>
      <c r="D21" s="11">
        <f t="shared" si="9"/>
        <v>10541</v>
      </c>
      <c r="E21" s="12">
        <f t="shared" si="9"/>
        <v>886131</v>
      </c>
      <c r="F21" s="10">
        <f t="shared" si="9"/>
        <v>893780</v>
      </c>
      <c r="G21" s="11">
        <f t="shared" si="9"/>
        <v>8460</v>
      </c>
      <c r="H21" s="12">
        <f t="shared" si="9"/>
        <v>902240</v>
      </c>
      <c r="I21" s="273">
        <f>SUM(I3:I20)</f>
        <v>906020</v>
      </c>
      <c r="J21" s="92">
        <f>SUM(J3:J19)</f>
        <v>7658</v>
      </c>
      <c r="K21" s="82">
        <f t="shared" si="1"/>
        <v>913678</v>
      </c>
      <c r="L21" s="63">
        <f t="shared" ref="L21:L25" si="10">I21/F21</f>
        <v>1.013694645214706</v>
      </c>
      <c r="M21" s="15">
        <f>J21/G21</f>
        <v>0.90520094562647757</v>
      </c>
      <c r="N21" s="16">
        <f t="shared" ref="N21:N41" si="11">K21/H21</f>
        <v>1.0126773364071644</v>
      </c>
    </row>
    <row r="22" spans="1:14" s="42" customFormat="1" ht="18" customHeight="1" x14ac:dyDescent="0.2">
      <c r="A22" s="38">
        <v>11</v>
      </c>
      <c r="B22" s="98" t="s">
        <v>83</v>
      </c>
      <c r="C22" s="74">
        <v>26427</v>
      </c>
      <c r="D22" s="66"/>
      <c r="E22" s="12">
        <f>SUM(C22:D22)</f>
        <v>26427</v>
      </c>
      <c r="F22" s="68">
        <v>27360</v>
      </c>
      <c r="G22" s="18"/>
      <c r="H22" s="12">
        <f t="shared" ref="H22:H31" si="12">SUM(F22:G22)</f>
        <v>27360</v>
      </c>
      <c r="I22" s="282">
        <v>25497</v>
      </c>
      <c r="J22" s="271"/>
      <c r="K22" s="82">
        <f t="shared" si="1"/>
        <v>25497</v>
      </c>
      <c r="L22" s="62">
        <f t="shared" si="10"/>
        <v>0.9319078947368421</v>
      </c>
      <c r="M22" s="60"/>
      <c r="N22" s="16">
        <f t="shared" si="11"/>
        <v>0.9319078947368421</v>
      </c>
    </row>
    <row r="23" spans="1:14" s="42" customFormat="1" ht="18" customHeight="1" x14ac:dyDescent="0.2">
      <c r="A23" s="38"/>
      <c r="B23" s="98" t="s">
        <v>199</v>
      </c>
      <c r="C23" s="74">
        <v>2090</v>
      </c>
      <c r="D23" s="66"/>
      <c r="E23" s="12">
        <f t="shared" ref="E23:E26" si="13">SUM(C23:D23)</f>
        <v>2090</v>
      </c>
      <c r="F23" s="68"/>
      <c r="G23" s="18"/>
      <c r="H23" s="12"/>
      <c r="I23" s="282"/>
      <c r="J23" s="271"/>
      <c r="K23" s="82">
        <f t="shared" si="1"/>
        <v>0</v>
      </c>
      <c r="L23" s="62"/>
      <c r="M23" s="60"/>
      <c r="N23" s="16"/>
    </row>
    <row r="24" spans="1:14" s="42" customFormat="1" ht="18" customHeight="1" x14ac:dyDescent="0.2">
      <c r="A24" s="38">
        <v>12</v>
      </c>
      <c r="B24" s="98" t="s">
        <v>26</v>
      </c>
      <c r="C24" s="74">
        <v>1588</v>
      </c>
      <c r="D24" s="66"/>
      <c r="E24" s="12">
        <f t="shared" si="13"/>
        <v>1588</v>
      </c>
      <c r="F24" s="68">
        <v>2347</v>
      </c>
      <c r="G24" s="18"/>
      <c r="H24" s="12">
        <f t="shared" si="12"/>
        <v>2347</v>
      </c>
      <c r="I24" s="282">
        <v>996</v>
      </c>
      <c r="J24" s="271"/>
      <c r="K24" s="82">
        <f t="shared" si="1"/>
        <v>996</v>
      </c>
      <c r="L24" s="62">
        <f t="shared" si="10"/>
        <v>0.42437153813378781</v>
      </c>
      <c r="M24" s="60"/>
      <c r="N24" s="16">
        <f t="shared" si="11"/>
        <v>0.42437153813378781</v>
      </c>
    </row>
    <row r="25" spans="1:14" s="42" customFormat="1" ht="18" customHeight="1" x14ac:dyDescent="0.2">
      <c r="A25" s="38">
        <v>13</v>
      </c>
      <c r="B25" s="98" t="s">
        <v>27</v>
      </c>
      <c r="C25" s="74">
        <v>6363</v>
      </c>
      <c r="D25" s="66"/>
      <c r="E25" s="12">
        <f t="shared" si="13"/>
        <v>6363</v>
      </c>
      <c r="F25" s="68">
        <v>8000</v>
      </c>
      <c r="G25" s="18"/>
      <c r="H25" s="12">
        <f t="shared" si="12"/>
        <v>8000</v>
      </c>
      <c r="I25" s="282">
        <v>6502</v>
      </c>
      <c r="J25" s="271"/>
      <c r="K25" s="82">
        <f t="shared" si="1"/>
        <v>6502</v>
      </c>
      <c r="L25" s="62">
        <f t="shared" si="10"/>
        <v>0.81274999999999997</v>
      </c>
      <c r="M25" s="60"/>
      <c r="N25" s="16">
        <f t="shared" si="11"/>
        <v>0.81274999999999997</v>
      </c>
    </row>
    <row r="26" spans="1:14" s="42" customFormat="1" ht="18" customHeight="1" x14ac:dyDescent="0.2">
      <c r="A26" s="38"/>
      <c r="B26" s="98" t="s">
        <v>194</v>
      </c>
      <c r="C26" s="74">
        <v>37</v>
      </c>
      <c r="D26" s="66"/>
      <c r="E26" s="12">
        <f t="shared" si="13"/>
        <v>37</v>
      </c>
      <c r="F26" s="68"/>
      <c r="G26" s="18"/>
      <c r="H26" s="12"/>
      <c r="I26" s="282"/>
      <c r="J26" s="271"/>
      <c r="K26" s="82">
        <f t="shared" si="1"/>
        <v>0</v>
      </c>
      <c r="L26" s="62"/>
      <c r="M26" s="60"/>
      <c r="N26" s="16"/>
    </row>
    <row r="27" spans="1:14" s="42" customFormat="1" ht="18" customHeight="1" x14ac:dyDescent="0.2">
      <c r="A27" s="38">
        <v>15</v>
      </c>
      <c r="B27" s="98" t="s">
        <v>28</v>
      </c>
      <c r="C27" s="74">
        <v>4730</v>
      </c>
      <c r="D27" s="66"/>
      <c r="E27" s="12">
        <f t="shared" ref="E27:E31" si="14">SUM(C27:D27)</f>
        <v>4730</v>
      </c>
      <c r="F27" s="68">
        <v>5833</v>
      </c>
      <c r="G27" s="18"/>
      <c r="H27" s="12">
        <f t="shared" si="12"/>
        <v>5833</v>
      </c>
      <c r="I27" s="282">
        <v>4525</v>
      </c>
      <c r="J27" s="271"/>
      <c r="K27" s="82">
        <f t="shared" si="1"/>
        <v>4525</v>
      </c>
      <c r="L27" s="62">
        <f t="shared" ref="L27" si="15">I27/F27</f>
        <v>0.77575861477798735</v>
      </c>
      <c r="M27" s="60"/>
      <c r="N27" s="16">
        <f t="shared" ref="N27" si="16">K27/H27</f>
        <v>0.77575861477798735</v>
      </c>
    </row>
    <row r="28" spans="1:14" s="42" customFormat="1" ht="18" customHeight="1" x14ac:dyDescent="0.2">
      <c r="A28" s="38">
        <v>16</v>
      </c>
      <c r="B28" s="98" t="s">
        <v>77</v>
      </c>
      <c r="C28" s="67"/>
      <c r="D28" s="66">
        <v>1680</v>
      </c>
      <c r="E28" s="12">
        <f t="shared" si="14"/>
        <v>1680</v>
      </c>
      <c r="F28" s="68"/>
      <c r="G28" s="66">
        <v>1680</v>
      </c>
      <c r="H28" s="12">
        <f t="shared" si="12"/>
        <v>1680</v>
      </c>
      <c r="I28" s="280"/>
      <c r="J28" s="271">
        <v>1680</v>
      </c>
      <c r="K28" s="82">
        <f t="shared" si="1"/>
        <v>1680</v>
      </c>
      <c r="L28" s="62"/>
      <c r="M28" s="60">
        <f t="shared" ref="M28" si="17">J28/G28</f>
        <v>1</v>
      </c>
      <c r="N28" s="16">
        <f t="shared" ref="N28" si="18">K28/H28</f>
        <v>1</v>
      </c>
    </row>
    <row r="29" spans="1:14" s="42" customFormat="1" ht="18" customHeight="1" x14ac:dyDescent="0.2">
      <c r="A29" s="38">
        <v>17</v>
      </c>
      <c r="B29" s="98" t="s">
        <v>68</v>
      </c>
      <c r="C29" s="67">
        <v>1626</v>
      </c>
      <c r="D29" s="66"/>
      <c r="E29" s="12">
        <f t="shared" si="14"/>
        <v>1626</v>
      </c>
      <c r="F29" s="68"/>
      <c r="G29" s="18"/>
      <c r="H29" s="12">
        <f t="shared" si="12"/>
        <v>0</v>
      </c>
      <c r="I29" s="280">
        <v>2189</v>
      </c>
      <c r="J29" s="271"/>
      <c r="K29" s="82">
        <f t="shared" si="1"/>
        <v>2189</v>
      </c>
      <c r="L29" s="62"/>
      <c r="M29" s="60"/>
      <c r="N29" s="16"/>
    </row>
    <row r="30" spans="1:14" s="42" customFormat="1" ht="18" customHeight="1" x14ac:dyDescent="0.2">
      <c r="A30" s="38">
        <v>18</v>
      </c>
      <c r="B30" s="97" t="s">
        <v>76</v>
      </c>
      <c r="C30" s="74">
        <v>1591</v>
      </c>
      <c r="D30" s="66"/>
      <c r="E30" s="12">
        <f t="shared" si="14"/>
        <v>1591</v>
      </c>
      <c r="F30" s="68">
        <v>2000</v>
      </c>
      <c r="G30" s="49"/>
      <c r="H30" s="12">
        <f t="shared" si="12"/>
        <v>2000</v>
      </c>
      <c r="I30" s="282">
        <v>1934</v>
      </c>
      <c r="J30" s="271"/>
      <c r="K30" s="82">
        <f t="shared" si="1"/>
        <v>1934</v>
      </c>
      <c r="L30" s="62">
        <f t="shared" ref="L30" si="19">I30/F30</f>
        <v>0.96699999999999997</v>
      </c>
      <c r="M30" s="60"/>
      <c r="N30" s="16">
        <f t="shared" si="11"/>
        <v>0.96699999999999997</v>
      </c>
    </row>
    <row r="31" spans="1:14" s="42" customFormat="1" ht="18" customHeight="1" x14ac:dyDescent="0.2">
      <c r="A31" s="38">
        <v>19</v>
      </c>
      <c r="B31" s="100" t="s">
        <v>47</v>
      </c>
      <c r="C31" s="74">
        <v>998</v>
      </c>
      <c r="D31" s="66"/>
      <c r="E31" s="12">
        <f t="shared" si="14"/>
        <v>998</v>
      </c>
      <c r="F31" s="68"/>
      <c r="G31" s="25"/>
      <c r="H31" s="12">
        <f t="shared" si="12"/>
        <v>0</v>
      </c>
      <c r="I31" s="282">
        <v>910</v>
      </c>
      <c r="J31" s="271"/>
      <c r="K31" s="82">
        <f t="shared" si="1"/>
        <v>910</v>
      </c>
      <c r="L31" s="62"/>
      <c r="M31" s="60"/>
      <c r="N31" s="16"/>
    </row>
    <row r="32" spans="1:14" s="24" customFormat="1" ht="18" customHeight="1" x14ac:dyDescent="0.2">
      <c r="A32" s="38">
        <v>20</v>
      </c>
      <c r="B32" s="9" t="s">
        <v>46</v>
      </c>
      <c r="C32" s="10">
        <f>SUM(C22:C31)</f>
        <v>45450</v>
      </c>
      <c r="D32" s="11">
        <f>SUM(D22:D31)</f>
        <v>1680</v>
      </c>
      <c r="E32" s="12">
        <f>SUM(E22:E31)</f>
        <v>47130</v>
      </c>
      <c r="F32" s="13">
        <f>SUM(F22:F31)</f>
        <v>45540</v>
      </c>
      <c r="G32" s="11">
        <f>SUM(G22:G31)</f>
        <v>1680</v>
      </c>
      <c r="H32" s="12">
        <f t="shared" ref="H32" si="20">SUM(H22:H31)</f>
        <v>47220</v>
      </c>
      <c r="I32" s="283">
        <f t="shared" ref="I32:J32" si="21">SUM(I22:I31)</f>
        <v>42553</v>
      </c>
      <c r="J32" s="92">
        <f t="shared" si="21"/>
        <v>1680</v>
      </c>
      <c r="K32" s="82">
        <f t="shared" si="1"/>
        <v>44233</v>
      </c>
      <c r="L32" s="63">
        <f>I32/F32</f>
        <v>0.93440931049626696</v>
      </c>
      <c r="M32" s="15"/>
      <c r="N32" s="16">
        <f t="shared" si="11"/>
        <v>0.93674290554849637</v>
      </c>
    </row>
    <row r="33" spans="1:14" s="59" customFormat="1" ht="18" customHeight="1" x14ac:dyDescent="0.2">
      <c r="A33" s="38">
        <v>21</v>
      </c>
      <c r="B33" s="9" t="s">
        <v>29</v>
      </c>
      <c r="C33" s="10">
        <f t="shared" ref="C33:J33" si="22">SUM(C32,C21)</f>
        <v>921040</v>
      </c>
      <c r="D33" s="11">
        <f t="shared" si="22"/>
        <v>12221</v>
      </c>
      <c r="E33" s="12">
        <f t="shared" si="22"/>
        <v>933261</v>
      </c>
      <c r="F33" s="13">
        <f t="shared" si="22"/>
        <v>939320</v>
      </c>
      <c r="G33" s="11">
        <f t="shared" si="22"/>
        <v>10140</v>
      </c>
      <c r="H33" s="12">
        <f t="shared" si="22"/>
        <v>949460</v>
      </c>
      <c r="I33" s="273">
        <f t="shared" si="22"/>
        <v>948573</v>
      </c>
      <c r="J33" s="92">
        <f t="shared" si="22"/>
        <v>9338</v>
      </c>
      <c r="K33" s="82">
        <f t="shared" si="1"/>
        <v>957911</v>
      </c>
      <c r="L33" s="63">
        <f>I33/F33</f>
        <v>1.0098507430907464</v>
      </c>
      <c r="M33" s="15">
        <f>J33/G33</f>
        <v>0.92090729783037473</v>
      </c>
      <c r="N33" s="16">
        <f t="shared" si="11"/>
        <v>1.0089008489035873</v>
      </c>
    </row>
    <row r="34" spans="1:14" s="59" customFormat="1" ht="18" customHeight="1" x14ac:dyDescent="0.2">
      <c r="A34" s="38">
        <v>22</v>
      </c>
      <c r="B34" s="101" t="s">
        <v>86</v>
      </c>
      <c r="C34" s="299">
        <v>219812</v>
      </c>
      <c r="D34" s="85"/>
      <c r="E34" s="82">
        <f t="shared" ref="E34:E40" si="23">SUM(C34:D34)</f>
        <v>219812</v>
      </c>
      <c r="F34" s="228">
        <v>240646</v>
      </c>
      <c r="G34" s="66"/>
      <c r="H34" s="12">
        <f>SUM(F34:G34)</f>
        <v>240646</v>
      </c>
      <c r="I34" s="284">
        <v>228063</v>
      </c>
      <c r="J34" s="88"/>
      <c r="K34" s="82">
        <f t="shared" si="1"/>
        <v>228063</v>
      </c>
      <c r="L34" s="62">
        <f t="shared" ref="L34" si="24">I34/F34</f>
        <v>0.94771157634035053</v>
      </c>
      <c r="M34" s="60"/>
      <c r="N34" s="16">
        <f t="shared" si="11"/>
        <v>0.94771157634035053</v>
      </c>
    </row>
    <row r="35" spans="1:14" s="39" customFormat="1" ht="18" customHeight="1" x14ac:dyDescent="0.2">
      <c r="A35" s="38">
        <v>27</v>
      </c>
      <c r="B35" s="101" t="s">
        <v>80</v>
      </c>
      <c r="C35" s="86">
        <v>5265</v>
      </c>
      <c r="D35" s="87"/>
      <c r="E35" s="82">
        <f t="shared" si="23"/>
        <v>5265</v>
      </c>
      <c r="F35" s="68"/>
      <c r="G35" s="25"/>
      <c r="H35" s="12"/>
      <c r="I35" s="86">
        <v>5167</v>
      </c>
      <c r="J35" s="87"/>
      <c r="K35" s="82">
        <f t="shared" si="1"/>
        <v>5167</v>
      </c>
      <c r="L35" s="62"/>
      <c r="M35" s="60"/>
      <c r="N35" s="16"/>
    </row>
    <row r="36" spans="1:14" s="39" customFormat="1" ht="18" customHeight="1" x14ac:dyDescent="0.2">
      <c r="A36" s="38">
        <v>28</v>
      </c>
      <c r="B36" s="101" t="s">
        <v>30</v>
      </c>
      <c r="C36" s="86">
        <v>2612</v>
      </c>
      <c r="D36" s="87"/>
      <c r="E36" s="82">
        <f t="shared" si="23"/>
        <v>2612</v>
      </c>
      <c r="F36" s="68">
        <v>3000</v>
      </c>
      <c r="G36" s="25"/>
      <c r="H36" s="12">
        <f t="shared" ref="H36:H38" si="25">SUM(F36:G36)</f>
        <v>3000</v>
      </c>
      <c r="I36" s="86">
        <v>3149</v>
      </c>
      <c r="J36" s="87"/>
      <c r="K36" s="82">
        <f t="shared" si="1"/>
        <v>3149</v>
      </c>
      <c r="L36" s="62">
        <f t="shared" ref="L36" si="26">I36/F36</f>
        <v>1.0496666666666667</v>
      </c>
      <c r="M36" s="60"/>
      <c r="N36" s="16">
        <f t="shared" ref="N36" si="27">K36/H36</f>
        <v>1.0496666666666667</v>
      </c>
    </row>
    <row r="37" spans="1:14" s="42" customFormat="1" ht="18" customHeight="1" x14ac:dyDescent="0.2">
      <c r="A37" s="38">
        <v>29</v>
      </c>
      <c r="B37" s="101" t="s">
        <v>31</v>
      </c>
      <c r="C37" s="86">
        <v>4726</v>
      </c>
      <c r="D37" s="88"/>
      <c r="E37" s="82">
        <f t="shared" si="23"/>
        <v>4726</v>
      </c>
      <c r="F37" s="68">
        <v>5000</v>
      </c>
      <c r="G37" s="25"/>
      <c r="H37" s="12">
        <f t="shared" si="25"/>
        <v>5000</v>
      </c>
      <c r="I37" s="86">
        <v>4678</v>
      </c>
      <c r="J37" s="88"/>
      <c r="K37" s="82">
        <f t="shared" si="1"/>
        <v>4678</v>
      </c>
      <c r="L37" s="62">
        <f t="shared" ref="L37:L38" si="28">I37/F37</f>
        <v>0.93559999999999999</v>
      </c>
      <c r="M37" s="60"/>
      <c r="N37" s="16">
        <f t="shared" ref="N37:N38" si="29">K37/H37</f>
        <v>0.93559999999999999</v>
      </c>
    </row>
    <row r="38" spans="1:14" s="42" customFormat="1" ht="18" customHeight="1" x14ac:dyDescent="0.2">
      <c r="A38" s="38">
        <v>30</v>
      </c>
      <c r="B38" s="101" t="s">
        <v>32</v>
      </c>
      <c r="C38" s="89">
        <v>5577</v>
      </c>
      <c r="D38" s="88"/>
      <c r="E38" s="82">
        <f t="shared" si="23"/>
        <v>5577</v>
      </c>
      <c r="F38" s="68">
        <v>9709</v>
      </c>
      <c r="G38" s="25"/>
      <c r="H38" s="12">
        <f t="shared" si="25"/>
        <v>9709</v>
      </c>
      <c r="I38" s="89">
        <v>5360</v>
      </c>
      <c r="J38" s="88"/>
      <c r="K38" s="82">
        <f t="shared" si="1"/>
        <v>5360</v>
      </c>
      <c r="L38" s="62">
        <f t="shared" si="28"/>
        <v>0.55206509424245542</v>
      </c>
      <c r="M38" s="60"/>
      <c r="N38" s="16">
        <f t="shared" si="29"/>
        <v>0.55206509424245542</v>
      </c>
    </row>
    <row r="39" spans="1:14" s="42" customFormat="1" ht="18" customHeight="1" x14ac:dyDescent="0.2">
      <c r="A39" s="38">
        <v>31</v>
      </c>
      <c r="B39" s="102" t="s">
        <v>79</v>
      </c>
      <c r="C39" s="90">
        <v>77</v>
      </c>
      <c r="D39" s="88"/>
      <c r="E39" s="91">
        <f t="shared" si="23"/>
        <v>77</v>
      </c>
      <c r="F39" s="95"/>
      <c r="G39" s="25"/>
      <c r="H39" s="69"/>
      <c r="I39" s="90">
        <v>76</v>
      </c>
      <c r="J39" s="88"/>
      <c r="K39" s="82">
        <f t="shared" si="1"/>
        <v>76</v>
      </c>
      <c r="L39" s="62"/>
      <c r="M39" s="60"/>
      <c r="N39" s="16"/>
    </row>
    <row r="40" spans="1:14" s="42" customFormat="1" ht="18" customHeight="1" x14ac:dyDescent="0.2">
      <c r="A40" s="38">
        <v>32</v>
      </c>
      <c r="B40" s="102" t="s">
        <v>85</v>
      </c>
      <c r="C40" s="90">
        <v>227</v>
      </c>
      <c r="D40" s="88"/>
      <c r="E40" s="91">
        <f t="shared" si="23"/>
        <v>227</v>
      </c>
      <c r="F40" s="95"/>
      <c r="G40" s="25"/>
      <c r="H40" s="69"/>
      <c r="I40" s="90">
        <v>289</v>
      </c>
      <c r="J40" s="88"/>
      <c r="K40" s="82">
        <f t="shared" si="1"/>
        <v>289</v>
      </c>
      <c r="L40" s="62"/>
      <c r="M40" s="60"/>
      <c r="N40" s="16"/>
    </row>
    <row r="41" spans="1:14" s="24" customFormat="1" ht="18" customHeight="1" x14ac:dyDescent="0.2">
      <c r="A41" s="38">
        <v>33</v>
      </c>
      <c r="B41" s="103" t="s">
        <v>48</v>
      </c>
      <c r="C41" s="84">
        <f>SUM(C34:C40)</f>
        <v>238296</v>
      </c>
      <c r="D41" s="11">
        <f>SUM(D34:D40)</f>
        <v>0</v>
      </c>
      <c r="E41" s="69">
        <f>SUM(E34:E40)</f>
        <v>238296</v>
      </c>
      <c r="F41" s="229">
        <f t="shared" ref="F41:H41" si="30">SUM(F34:F40)</f>
        <v>258355</v>
      </c>
      <c r="G41" s="11">
        <f t="shared" si="30"/>
        <v>0</v>
      </c>
      <c r="H41" s="69">
        <f t="shared" si="30"/>
        <v>258355</v>
      </c>
      <c r="I41" s="285">
        <f t="shared" ref="I41:J41" si="31">SUM(I34:I40)</f>
        <v>246782</v>
      </c>
      <c r="J41" s="92">
        <f t="shared" si="31"/>
        <v>0</v>
      </c>
      <c r="K41" s="82">
        <f t="shared" si="1"/>
        <v>246782</v>
      </c>
      <c r="L41" s="63">
        <f>I41/F41</f>
        <v>0.955205047318612</v>
      </c>
      <c r="M41" s="15"/>
      <c r="N41" s="16">
        <f t="shared" si="11"/>
        <v>0.955205047318612</v>
      </c>
    </row>
    <row r="42" spans="1:14" s="24" customFormat="1" ht="18" customHeight="1" thickBot="1" x14ac:dyDescent="0.25">
      <c r="A42" s="40">
        <v>34</v>
      </c>
      <c r="B42" s="27" t="s">
        <v>49</v>
      </c>
      <c r="C42" s="70">
        <f t="shared" ref="C42:J42" si="32">C33+C41</f>
        <v>1159336</v>
      </c>
      <c r="D42" s="28">
        <f t="shared" si="32"/>
        <v>12221</v>
      </c>
      <c r="E42" s="71">
        <f t="shared" si="32"/>
        <v>1171557</v>
      </c>
      <c r="F42" s="54">
        <f t="shared" si="32"/>
        <v>1197675</v>
      </c>
      <c r="G42" s="28">
        <f t="shared" si="32"/>
        <v>10140</v>
      </c>
      <c r="H42" s="71">
        <f t="shared" si="32"/>
        <v>1207815</v>
      </c>
      <c r="I42" s="286">
        <f t="shared" si="32"/>
        <v>1195355</v>
      </c>
      <c r="J42" s="278">
        <f t="shared" si="32"/>
        <v>9338</v>
      </c>
      <c r="K42" s="287">
        <f t="shared" si="1"/>
        <v>1204693</v>
      </c>
      <c r="L42" s="64">
        <f>I42/F42</f>
        <v>0.99806291356169241</v>
      </c>
      <c r="M42" s="30">
        <f>J42/G42</f>
        <v>0.92090729783037473</v>
      </c>
      <c r="N42" s="31">
        <f>K42/H42</f>
        <v>0.99741516705786892</v>
      </c>
    </row>
  </sheetData>
  <mergeCells count="5">
    <mergeCell ref="F1:H1"/>
    <mergeCell ref="I1:K1"/>
    <mergeCell ref="L1:N1"/>
    <mergeCell ref="A1:B2"/>
    <mergeCell ref="C1:E1"/>
  </mergeCells>
  <phoneticPr fontId="0" type="noConversion"/>
  <conditionalFormatting sqref="B34:E40 I3:K42 F24:N1048576 C1:N23 C3:E42">
    <cfRule type="cellIs" dxfId="3" priority="38" stopIfTrue="1" operator="equal">
      <formula>0</formula>
    </cfRule>
  </conditionalFormatting>
  <printOptions horizontalCentered="1" verticalCentered="1"/>
  <pageMargins left="0" right="0" top="0.78740157480314965" bottom="0.39370078740157483" header="0.31496062992125984" footer="0.23622047244094491"/>
  <pageSetup paperSize="9" scale="66" orientation="landscape" r:id="rId1"/>
  <headerFooter alignWithMargins="0">
    <oddHeader>&amp;CXIII. Kerületi Egészségügy Szolgálat Nonprofit Kft.2014. évi bérköltsége kifizetési jogcímenkénti bontásban(adatok e Ft-ban)&amp;R7. sz. melléklet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opLeftCell="A10" zoomScaleNormal="100" workbookViewId="0">
      <selection activeCell="E10" sqref="E10"/>
    </sheetView>
  </sheetViews>
  <sheetFormatPr defaultRowHeight="21" customHeight="1" x14ac:dyDescent="0.2"/>
  <cols>
    <col min="1" max="1" width="3.7109375" style="3" customWidth="1"/>
    <col min="2" max="2" width="38.7109375" style="8" customWidth="1"/>
    <col min="3" max="4" width="17.7109375" style="8" customWidth="1"/>
    <col min="5" max="5" width="17.7109375" style="46" customWidth="1"/>
    <col min="6" max="6" width="17.7109375" style="47" customWidth="1"/>
    <col min="7" max="16384" width="9.140625" style="8"/>
  </cols>
  <sheetData>
    <row r="1" spans="1:6" ht="42" customHeight="1" x14ac:dyDescent="0.2">
      <c r="A1" s="542" t="s">
        <v>0</v>
      </c>
      <c r="B1" s="577"/>
      <c r="C1" s="298" t="s">
        <v>225</v>
      </c>
      <c r="D1" s="265" t="s">
        <v>201</v>
      </c>
      <c r="E1" s="298" t="s">
        <v>226</v>
      </c>
      <c r="F1" s="75" t="s">
        <v>227</v>
      </c>
    </row>
    <row r="2" spans="1:6" ht="21" customHeight="1" x14ac:dyDescent="0.2">
      <c r="A2" s="43">
        <v>1</v>
      </c>
      <c r="B2" s="44" t="s">
        <v>50</v>
      </c>
      <c r="C2" s="66">
        <v>148237</v>
      </c>
      <c r="D2" s="18">
        <v>156000</v>
      </c>
      <c r="E2" s="66">
        <v>165338</v>
      </c>
      <c r="F2" s="21">
        <f t="shared" ref="F2:F8" si="0">E2/D2</f>
        <v>1.0598589743589744</v>
      </c>
    </row>
    <row r="3" spans="1:6" ht="21" customHeight="1" x14ac:dyDescent="0.2">
      <c r="A3" s="43">
        <v>2</v>
      </c>
      <c r="B3" s="44" t="s">
        <v>51</v>
      </c>
      <c r="C3" s="66">
        <v>10465</v>
      </c>
      <c r="D3" s="18">
        <v>13000</v>
      </c>
      <c r="E3" s="271">
        <v>10619</v>
      </c>
      <c r="F3" s="21">
        <f t="shared" si="0"/>
        <v>0.81684615384615389</v>
      </c>
    </row>
    <row r="4" spans="1:6" ht="21" customHeight="1" x14ac:dyDescent="0.2">
      <c r="A4" s="43">
        <v>3</v>
      </c>
      <c r="B4" s="44" t="s">
        <v>52</v>
      </c>
      <c r="C4" s="73">
        <v>8977</v>
      </c>
      <c r="D4" s="18">
        <v>10000</v>
      </c>
      <c r="E4" s="288">
        <v>8862</v>
      </c>
      <c r="F4" s="21">
        <f t="shared" si="0"/>
        <v>0.88619999999999999</v>
      </c>
    </row>
    <row r="5" spans="1:6" ht="21" customHeight="1" x14ac:dyDescent="0.2">
      <c r="A5" s="43">
        <v>4</v>
      </c>
      <c r="B5" s="44" t="s">
        <v>53</v>
      </c>
      <c r="C5" s="18">
        <v>3231</v>
      </c>
      <c r="D5" s="18">
        <v>2000</v>
      </c>
      <c r="E5" s="289">
        <v>2448</v>
      </c>
      <c r="F5" s="21">
        <f t="shared" si="0"/>
        <v>1.224</v>
      </c>
    </row>
    <row r="6" spans="1:6" ht="21" customHeight="1" x14ac:dyDescent="0.2">
      <c r="A6" s="43">
        <v>5</v>
      </c>
      <c r="B6" s="44" t="s">
        <v>54</v>
      </c>
      <c r="C6" s="73">
        <v>1870</v>
      </c>
      <c r="D6" s="18">
        <v>1000</v>
      </c>
      <c r="E6" s="288">
        <v>535</v>
      </c>
      <c r="F6" s="21">
        <f t="shared" si="0"/>
        <v>0.53500000000000003</v>
      </c>
    </row>
    <row r="7" spans="1:6" ht="21" customHeight="1" x14ac:dyDescent="0.2">
      <c r="A7" s="43">
        <v>6</v>
      </c>
      <c r="B7" s="44" t="s">
        <v>55</v>
      </c>
      <c r="C7" s="18">
        <v>2777</v>
      </c>
      <c r="D7" s="18">
        <v>3000</v>
      </c>
      <c r="E7" s="289">
        <v>2191</v>
      </c>
      <c r="F7" s="21">
        <f t="shared" si="0"/>
        <v>0.73033333333333328</v>
      </c>
    </row>
    <row r="8" spans="1:6" s="24" customFormat="1" ht="21" customHeight="1" x14ac:dyDescent="0.2">
      <c r="A8" s="6">
        <v>7</v>
      </c>
      <c r="B8" s="45" t="s">
        <v>3</v>
      </c>
      <c r="C8" s="11">
        <f>SUM(C2:C7)</f>
        <v>175557</v>
      </c>
      <c r="D8" s="11">
        <f>SUM(D2:D7)</f>
        <v>185000</v>
      </c>
      <c r="E8" s="92">
        <f>SUM(E2:E7)</f>
        <v>189993</v>
      </c>
      <c r="F8" s="15">
        <f t="shared" si="0"/>
        <v>1.0269891891891891</v>
      </c>
    </row>
  </sheetData>
  <mergeCells count="1">
    <mergeCell ref="A1:B1"/>
  </mergeCells>
  <phoneticPr fontId="0" type="noConversion"/>
  <conditionalFormatting sqref="A1:XFD1048576">
    <cfRule type="cellIs" dxfId="2" priority="7" stopIfTrue="1" operator="equal">
      <formula>0</formula>
    </cfRule>
  </conditionalFormatting>
  <printOptions horizontalCentered="1"/>
  <pageMargins left="0.78740157480314965" right="0.78740157480314965" top="1.7716535433070868" bottom="0.98425196850393704" header="0.51181102362204722" footer="0.51181102362204722"/>
  <pageSetup paperSize="9" orientation="landscape" r:id="rId1"/>
  <headerFooter alignWithMargins="0">
    <oddHeader>&amp;CXIII. Kerületi Egészségügyi Szolgálat Nonprofit Kft.2014. évi anyagköltsége&amp;R8. sz. melléklet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opLeftCell="A28" zoomScale="80" zoomScaleNormal="80" workbookViewId="0">
      <selection activeCell="B29" sqref="B29"/>
    </sheetView>
  </sheetViews>
  <sheetFormatPr defaultRowHeight="21" customHeight="1" x14ac:dyDescent="0.2"/>
  <cols>
    <col min="1" max="1" width="3.7109375" style="3" customWidth="1"/>
    <col min="2" max="2" width="70.28515625" style="8" customWidth="1"/>
    <col min="3" max="3" width="19.85546875" style="8" customWidth="1"/>
    <col min="4" max="5" width="19.85546875" style="46" customWidth="1"/>
    <col min="6" max="6" width="19.85546875" style="52" customWidth="1"/>
    <col min="7" max="16384" width="9.140625" style="8"/>
  </cols>
  <sheetData>
    <row r="1" spans="1:6" ht="36" customHeight="1" x14ac:dyDescent="0.2">
      <c r="A1" s="537" t="s">
        <v>0</v>
      </c>
      <c r="B1" s="537"/>
      <c r="C1" s="298" t="s">
        <v>225</v>
      </c>
      <c r="D1" s="265" t="s">
        <v>201</v>
      </c>
      <c r="E1" s="298" t="s">
        <v>226</v>
      </c>
      <c r="F1" s="75" t="s">
        <v>227</v>
      </c>
    </row>
    <row r="2" spans="1:6" ht="19.5" customHeight="1" x14ac:dyDescent="0.2">
      <c r="A2" s="43">
        <v>1</v>
      </c>
      <c r="B2" s="44" t="s">
        <v>56</v>
      </c>
      <c r="C2" s="66">
        <v>57698</v>
      </c>
      <c r="D2" s="18">
        <v>56000</v>
      </c>
      <c r="E2" s="271">
        <v>58214</v>
      </c>
      <c r="F2" s="21">
        <f t="shared" ref="F2:F22" si="0">E2/D2</f>
        <v>1.0395357142857142</v>
      </c>
    </row>
    <row r="3" spans="1:6" ht="19.5" customHeight="1" x14ac:dyDescent="0.2">
      <c r="A3" s="43">
        <v>2</v>
      </c>
      <c r="B3" s="44" t="s">
        <v>57</v>
      </c>
      <c r="C3" s="18">
        <v>9766</v>
      </c>
      <c r="D3" s="18">
        <v>9000</v>
      </c>
      <c r="E3" s="289">
        <v>9101</v>
      </c>
      <c r="F3" s="21">
        <f t="shared" si="0"/>
        <v>1.0112222222222222</v>
      </c>
    </row>
    <row r="4" spans="1:6" ht="19.5" customHeight="1" x14ac:dyDescent="0.2">
      <c r="A4" s="43">
        <v>3</v>
      </c>
      <c r="B4" s="44" t="s">
        <v>84</v>
      </c>
      <c r="C4" s="18">
        <v>23484</v>
      </c>
      <c r="D4" s="18">
        <v>22000</v>
      </c>
      <c r="E4" s="289">
        <v>23568</v>
      </c>
      <c r="F4" s="21">
        <f t="shared" si="0"/>
        <v>1.0712727272727274</v>
      </c>
    </row>
    <row r="5" spans="1:6" ht="19.5" customHeight="1" x14ac:dyDescent="0.2">
      <c r="A5" s="43">
        <v>4</v>
      </c>
      <c r="B5" s="44" t="s">
        <v>58</v>
      </c>
      <c r="C5" s="289">
        <f>127469-48498</f>
        <v>78971</v>
      </c>
      <c r="D5" s="18">
        <v>47000</v>
      </c>
      <c r="E5" s="289">
        <v>56011</v>
      </c>
      <c r="F5" s="21">
        <f t="shared" si="0"/>
        <v>1.1917234042553191</v>
      </c>
    </row>
    <row r="6" spans="1:6" ht="19.5" customHeight="1" x14ac:dyDescent="0.2">
      <c r="A6" s="43"/>
      <c r="B6" s="48" t="s">
        <v>218</v>
      </c>
      <c r="C6" s="87">
        <v>5474</v>
      </c>
      <c r="D6" s="49">
        <v>4320</v>
      </c>
      <c r="E6" s="87">
        <v>4699</v>
      </c>
      <c r="F6" s="50">
        <f t="shared" si="0"/>
        <v>1.0877314814814816</v>
      </c>
    </row>
    <row r="7" spans="1:6" ht="19.5" customHeight="1" x14ac:dyDescent="0.2">
      <c r="A7" s="43"/>
      <c r="B7" s="51" t="s">
        <v>33</v>
      </c>
      <c r="C7" s="87">
        <v>19781</v>
      </c>
      <c r="D7" s="49">
        <v>15800</v>
      </c>
      <c r="E7" s="87">
        <v>17029</v>
      </c>
      <c r="F7" s="50">
        <f t="shared" si="0"/>
        <v>1.0777848101265823</v>
      </c>
    </row>
    <row r="8" spans="1:6" ht="19.5" customHeight="1" x14ac:dyDescent="0.2">
      <c r="A8" s="43"/>
      <c r="B8" s="51" t="s">
        <v>34</v>
      </c>
      <c r="C8" s="87">
        <v>3832</v>
      </c>
      <c r="D8" s="49">
        <v>2352</v>
      </c>
      <c r="E8" s="87">
        <v>1956</v>
      </c>
      <c r="F8" s="50">
        <f t="shared" si="0"/>
        <v>0.83163265306122447</v>
      </c>
    </row>
    <row r="9" spans="1:6" ht="19.5" customHeight="1" x14ac:dyDescent="0.2">
      <c r="A9" s="43"/>
      <c r="B9" s="51" t="s">
        <v>35</v>
      </c>
      <c r="C9" s="87">
        <v>8760</v>
      </c>
      <c r="D9" s="49">
        <v>8340</v>
      </c>
      <c r="E9" s="87">
        <v>9013</v>
      </c>
      <c r="F9" s="50">
        <f t="shared" si="0"/>
        <v>1.080695443645084</v>
      </c>
    </row>
    <row r="10" spans="1:6" ht="19.5" customHeight="1" x14ac:dyDescent="0.2">
      <c r="A10" s="290"/>
      <c r="B10" s="291" t="s">
        <v>211</v>
      </c>
      <c r="C10" s="87">
        <v>48498</v>
      </c>
      <c r="D10" s="49">
        <v>97000</v>
      </c>
      <c r="E10" s="87">
        <v>96996</v>
      </c>
      <c r="F10" s="50">
        <f t="shared" si="0"/>
        <v>0.99995876288659791</v>
      </c>
    </row>
    <row r="11" spans="1:6" ht="19.5" customHeight="1" x14ac:dyDescent="0.2">
      <c r="A11" s="43">
        <v>5</v>
      </c>
      <c r="B11" s="44" t="s">
        <v>36</v>
      </c>
      <c r="C11" s="66">
        <v>67106</v>
      </c>
      <c r="D11" s="18">
        <v>65000</v>
      </c>
      <c r="E11" s="271">
        <v>68759</v>
      </c>
      <c r="F11" s="50">
        <f t="shared" si="0"/>
        <v>1.0578307692307691</v>
      </c>
    </row>
    <row r="12" spans="1:6" ht="19.5" customHeight="1" x14ac:dyDescent="0.2">
      <c r="A12" s="43">
        <v>6</v>
      </c>
      <c r="B12" s="44" t="s">
        <v>37</v>
      </c>
      <c r="C12" s="18">
        <v>52060</v>
      </c>
      <c r="D12" s="18">
        <v>28000</v>
      </c>
      <c r="E12" s="289">
        <v>18693</v>
      </c>
      <c r="F12" s="21">
        <f t="shared" si="0"/>
        <v>0.66760714285714284</v>
      </c>
    </row>
    <row r="13" spans="1:6" ht="19.5" customHeight="1" x14ac:dyDescent="0.2">
      <c r="A13" s="43">
        <v>7</v>
      </c>
      <c r="B13" s="44" t="s">
        <v>38</v>
      </c>
      <c r="C13" s="66">
        <v>922</v>
      </c>
      <c r="D13" s="18">
        <v>1000</v>
      </c>
      <c r="E13" s="271">
        <v>840</v>
      </c>
      <c r="F13" s="21">
        <f t="shared" si="0"/>
        <v>0.84</v>
      </c>
    </row>
    <row r="14" spans="1:6" ht="19.5" customHeight="1" x14ac:dyDescent="0.2">
      <c r="A14" s="43">
        <v>8</v>
      </c>
      <c r="B14" s="2" t="s">
        <v>59</v>
      </c>
      <c r="C14" s="66">
        <v>1070</v>
      </c>
      <c r="D14" s="18">
        <v>1000</v>
      </c>
      <c r="E14" s="271">
        <v>1006</v>
      </c>
      <c r="F14" s="21">
        <f t="shared" si="0"/>
        <v>1.006</v>
      </c>
    </row>
    <row r="15" spans="1:6" ht="19.5" customHeight="1" x14ac:dyDescent="0.2">
      <c r="A15" s="43">
        <v>9</v>
      </c>
      <c r="B15" s="44" t="s">
        <v>39</v>
      </c>
      <c r="C15" s="66">
        <v>513</v>
      </c>
      <c r="D15" s="18">
        <v>700</v>
      </c>
      <c r="E15" s="271">
        <v>754</v>
      </c>
      <c r="F15" s="21">
        <f t="shared" si="0"/>
        <v>1.0771428571428572</v>
      </c>
    </row>
    <row r="16" spans="1:6" ht="19.5" customHeight="1" x14ac:dyDescent="0.2">
      <c r="A16" s="43">
        <v>10</v>
      </c>
      <c r="B16" s="44" t="s">
        <v>40</v>
      </c>
      <c r="C16" s="66">
        <v>6392</v>
      </c>
      <c r="D16" s="18">
        <v>7800</v>
      </c>
      <c r="E16" s="271">
        <v>5901</v>
      </c>
      <c r="F16" s="21">
        <f t="shared" si="0"/>
        <v>0.75653846153846149</v>
      </c>
    </row>
    <row r="17" spans="1:6" ht="19.5" customHeight="1" x14ac:dyDescent="0.2">
      <c r="A17" s="43">
        <v>11</v>
      </c>
      <c r="B17" s="44" t="s">
        <v>41</v>
      </c>
      <c r="C17" s="18"/>
      <c r="D17" s="18"/>
      <c r="E17" s="289"/>
      <c r="F17" s="21"/>
    </row>
    <row r="18" spans="1:6" ht="19.5" customHeight="1" x14ac:dyDescent="0.2">
      <c r="A18" s="43">
        <v>12</v>
      </c>
      <c r="B18" s="44" t="s">
        <v>69</v>
      </c>
      <c r="C18" s="18">
        <v>8633</v>
      </c>
      <c r="D18" s="18">
        <v>6500</v>
      </c>
      <c r="E18" s="289">
        <v>16651</v>
      </c>
      <c r="F18" s="21">
        <f t="shared" si="0"/>
        <v>2.5616923076923075</v>
      </c>
    </row>
    <row r="19" spans="1:6" ht="19.5" customHeight="1" x14ac:dyDescent="0.2">
      <c r="A19" s="231"/>
      <c r="B19" s="44" t="s">
        <v>195</v>
      </c>
      <c r="C19" s="18">
        <v>2005</v>
      </c>
      <c r="D19" s="18"/>
      <c r="E19" s="289">
        <v>4641</v>
      </c>
      <c r="F19" s="21"/>
    </row>
    <row r="20" spans="1:6" ht="28.5" customHeight="1" x14ac:dyDescent="0.2">
      <c r="A20" s="43">
        <v>13</v>
      </c>
      <c r="B20" s="2" t="s">
        <v>70</v>
      </c>
      <c r="C20" s="18">
        <v>9947</v>
      </c>
      <c r="D20" s="18">
        <v>5000</v>
      </c>
      <c r="E20" s="289">
        <v>10256</v>
      </c>
      <c r="F20" s="21">
        <f t="shared" si="0"/>
        <v>2.0512000000000001</v>
      </c>
    </row>
    <row r="21" spans="1:6" s="24" customFormat="1" ht="19.5" customHeight="1" x14ac:dyDescent="0.2">
      <c r="A21" s="43">
        <v>14</v>
      </c>
      <c r="B21" s="45" t="s">
        <v>60</v>
      </c>
      <c r="C21" s="92">
        <f t="shared" ref="C21" si="1">SUM(C10:C20,C2:C5)</f>
        <v>367065</v>
      </c>
      <c r="D21" s="92">
        <f>SUM(D10:D20,D2:D5)</f>
        <v>346000</v>
      </c>
      <c r="E21" s="92">
        <f>SUM(E10:E20,E2:E5)</f>
        <v>371391</v>
      </c>
      <c r="F21" s="15">
        <f>E21/D21</f>
        <v>1.0733843930635838</v>
      </c>
    </row>
    <row r="22" spans="1:6" ht="19.5" customHeight="1" x14ac:dyDescent="0.2">
      <c r="A22" s="43">
        <v>15</v>
      </c>
      <c r="B22" s="65" t="s">
        <v>61</v>
      </c>
      <c r="C22" s="66">
        <v>7567</v>
      </c>
      <c r="D22" s="18">
        <v>8000</v>
      </c>
      <c r="E22" s="271">
        <v>7930</v>
      </c>
      <c r="F22" s="21">
        <f t="shared" si="0"/>
        <v>0.99124999999999996</v>
      </c>
    </row>
    <row r="23" spans="1:6" ht="19.5" customHeight="1" x14ac:dyDescent="0.2">
      <c r="A23" s="43">
        <v>16</v>
      </c>
      <c r="B23" s="45" t="s">
        <v>3</v>
      </c>
      <c r="C23" s="11">
        <f>SUM(C21:C22)</f>
        <v>374632</v>
      </c>
      <c r="D23" s="11">
        <f>SUM(D21:D22)</f>
        <v>354000</v>
      </c>
      <c r="E23" s="92">
        <f>SUM(E21:E22)</f>
        <v>379321</v>
      </c>
      <c r="F23" s="15">
        <f>E23/D23</f>
        <v>1.0715282485875706</v>
      </c>
    </row>
    <row r="24" spans="1:6" ht="19.5" customHeight="1" x14ac:dyDescent="0.2"/>
    <row r="25" spans="1:6" ht="19.5" customHeight="1" x14ac:dyDescent="0.2">
      <c r="B25" s="46"/>
      <c r="C25" s="46"/>
      <c r="D25" s="52"/>
      <c r="E25" s="8"/>
      <c r="F25" s="8"/>
    </row>
    <row r="26" spans="1:6" ht="19.5" customHeight="1" x14ac:dyDescent="0.2">
      <c r="B26" s="46"/>
      <c r="C26" s="46"/>
      <c r="D26" s="52"/>
      <c r="E26" s="8"/>
      <c r="F26" s="8"/>
    </row>
    <row r="27" spans="1:6" ht="19.5" customHeight="1" x14ac:dyDescent="0.2">
      <c r="B27" s="46"/>
      <c r="C27" s="46"/>
      <c r="D27" s="52"/>
      <c r="E27" s="8"/>
      <c r="F27" s="8"/>
    </row>
    <row r="28" spans="1:6" ht="19.5" customHeight="1" x14ac:dyDescent="0.2">
      <c r="B28" s="46"/>
      <c r="C28" s="46"/>
      <c r="D28" s="52"/>
      <c r="E28" s="8"/>
      <c r="F28" s="8"/>
    </row>
    <row r="29" spans="1:6" ht="21" customHeight="1" x14ac:dyDescent="0.2">
      <c r="B29" s="46"/>
      <c r="C29" s="46"/>
      <c r="D29" s="52"/>
      <c r="E29" s="8"/>
      <c r="F29" s="8"/>
    </row>
  </sheetData>
  <mergeCells count="1">
    <mergeCell ref="A1:B1"/>
  </mergeCells>
  <phoneticPr fontId="0" type="noConversion"/>
  <conditionalFormatting sqref="A1:XFD1048576">
    <cfRule type="cellIs" dxfId="1" priority="12" stopIfTrue="1" operator="equal">
      <formula>0</formula>
    </cfRule>
  </conditionalFormatting>
  <printOptions horizontalCentered="1" verticalCentered="1"/>
  <pageMargins left="0" right="0" top="0.78740157480314965" bottom="0.39370078740157483" header="0.31496062992125984" footer="0.11811023622047245"/>
  <pageSetup paperSize="9" scale="90" orientation="landscape" r:id="rId1"/>
  <headerFooter alignWithMargins="0">
    <oddHeader>&amp;CXIII. Kerületi Egészségügyi Szolgálat Nonprofit Kft.2014. évi szolgáltatásai&amp;R9. sz. melléklet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zoomScale="90" zoomScaleNormal="90" workbookViewId="0">
      <selection activeCell="G1" sqref="G1"/>
    </sheetView>
  </sheetViews>
  <sheetFormatPr defaultRowHeight="21" customHeight="1" x14ac:dyDescent="0.2"/>
  <cols>
    <col min="1" max="1" width="3.7109375" style="3" customWidth="1"/>
    <col min="2" max="2" width="47.42578125" style="8" customWidth="1"/>
    <col min="3" max="3" width="17.7109375" style="8" customWidth="1"/>
    <col min="4" max="5" width="17.7109375" style="46" customWidth="1"/>
    <col min="6" max="6" width="17.7109375" style="52" customWidth="1"/>
    <col min="7" max="16384" width="9.140625" style="8"/>
  </cols>
  <sheetData>
    <row r="1" spans="1:6" s="3" customFormat="1" ht="42" customHeight="1" x14ac:dyDescent="0.2">
      <c r="A1" s="537" t="s">
        <v>0</v>
      </c>
      <c r="B1" s="537"/>
      <c r="C1" s="298" t="s">
        <v>225</v>
      </c>
      <c r="D1" s="265" t="s">
        <v>201</v>
      </c>
      <c r="E1" s="298" t="s">
        <v>226</v>
      </c>
      <c r="F1" s="75" t="s">
        <v>227</v>
      </c>
    </row>
    <row r="2" spans="1:6" ht="21" customHeight="1" x14ac:dyDescent="0.2">
      <c r="A2" s="43">
        <v>1</v>
      </c>
      <c r="B2" s="44" t="s">
        <v>62</v>
      </c>
      <c r="C2" s="18">
        <v>2359</v>
      </c>
      <c r="D2" s="18">
        <v>2600</v>
      </c>
      <c r="E2" s="289">
        <v>2356</v>
      </c>
      <c r="F2" s="21">
        <f>E2/D2</f>
        <v>0.9061538461538462</v>
      </c>
    </row>
    <row r="3" spans="1:6" ht="21" customHeight="1" x14ac:dyDescent="0.2">
      <c r="A3" s="43">
        <v>2</v>
      </c>
      <c r="B3" s="44" t="s">
        <v>64</v>
      </c>
      <c r="C3" s="18">
        <v>1718</v>
      </c>
      <c r="D3" s="18">
        <v>2000</v>
      </c>
      <c r="E3" s="289">
        <v>1600</v>
      </c>
      <c r="F3" s="21">
        <f t="shared" ref="F3:F5" si="0">E3/D3</f>
        <v>0.8</v>
      </c>
    </row>
    <row r="4" spans="1:6" ht="21" customHeight="1" x14ac:dyDescent="0.2">
      <c r="A4" s="83">
        <v>3</v>
      </c>
      <c r="B4" s="44" t="s">
        <v>78</v>
      </c>
      <c r="C4" s="18">
        <v>146</v>
      </c>
      <c r="D4" s="18">
        <v>500</v>
      </c>
      <c r="E4" s="289"/>
      <c r="F4" s="21">
        <f t="shared" si="0"/>
        <v>0</v>
      </c>
    </row>
    <row r="5" spans="1:6" ht="21" customHeight="1" x14ac:dyDescent="0.2">
      <c r="A5" s="43">
        <v>4</v>
      </c>
      <c r="B5" s="44" t="s">
        <v>63</v>
      </c>
      <c r="C5" s="18">
        <v>35588</v>
      </c>
      <c r="D5" s="18">
        <v>7000</v>
      </c>
      <c r="E5" s="18">
        <v>7708</v>
      </c>
      <c r="F5" s="21">
        <f t="shared" si="0"/>
        <v>1.1011428571428572</v>
      </c>
    </row>
    <row r="6" spans="1:6" s="24" customFormat="1" ht="21" customHeight="1" x14ac:dyDescent="0.2">
      <c r="A6" s="6"/>
      <c r="B6" s="45" t="s">
        <v>3</v>
      </c>
      <c r="C6" s="11">
        <f>SUM(C2:C5)</f>
        <v>39811</v>
      </c>
      <c r="D6" s="11">
        <f>SUM(D2:D5)</f>
        <v>12100</v>
      </c>
      <c r="E6" s="92">
        <f>SUM(E2:E5)</f>
        <v>11664</v>
      </c>
      <c r="F6" s="15">
        <f>E6/D6</f>
        <v>0.96396694214876033</v>
      </c>
    </row>
  </sheetData>
  <mergeCells count="1">
    <mergeCell ref="A1:B1"/>
  </mergeCells>
  <phoneticPr fontId="0" type="noConversion"/>
  <conditionalFormatting sqref="A1:A6 B1:C3 B5:C6 C1:F6">
    <cfRule type="cellIs" dxfId="0" priority="12" stopIfTrue="1" operator="equal">
      <formula>0</formula>
    </cfRule>
  </conditionalFormatting>
  <printOptions horizontalCentered="1"/>
  <pageMargins left="0" right="0" top="1.7716535433070868" bottom="0.98425196850393704" header="0.51181102362204722" footer="0.51181102362204722"/>
  <pageSetup paperSize="9" orientation="landscape" r:id="rId1"/>
  <headerFooter alignWithMargins="0">
    <oddHeader>&amp;CXIII. Kerületi Egészségügyi Szolgálat Nonprofit Kft.2014. évi egyéb működési költségei&amp;R10. sz. melléklet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G23" sqref="G23"/>
    </sheetView>
  </sheetViews>
  <sheetFormatPr defaultRowHeight="12.75" x14ac:dyDescent="0.2"/>
  <cols>
    <col min="1" max="1" width="15.5703125" customWidth="1"/>
    <col min="2" max="2" width="13.85546875" customWidth="1"/>
    <col min="3" max="3" width="11.85546875" customWidth="1"/>
    <col min="4" max="4" width="15.28515625" customWidth="1"/>
    <col min="5" max="5" width="11" customWidth="1"/>
    <col min="6" max="6" width="13.7109375" customWidth="1"/>
    <col min="7" max="7" width="13.140625" customWidth="1"/>
    <col min="8" max="8" width="12.85546875" customWidth="1"/>
    <col min="257" max="257" width="15.5703125" customWidth="1"/>
    <col min="258" max="258" width="13.85546875" customWidth="1"/>
    <col min="259" max="259" width="11.85546875" customWidth="1"/>
    <col min="260" max="260" width="15.28515625" customWidth="1"/>
    <col min="261" max="261" width="11" customWidth="1"/>
    <col min="262" max="262" width="13.7109375" customWidth="1"/>
    <col min="263" max="263" width="13.140625" customWidth="1"/>
    <col min="264" max="264" width="12.85546875" customWidth="1"/>
    <col min="513" max="513" width="15.5703125" customWidth="1"/>
    <col min="514" max="514" width="13.85546875" customWidth="1"/>
    <col min="515" max="515" width="11.85546875" customWidth="1"/>
    <col min="516" max="516" width="15.28515625" customWidth="1"/>
    <col min="517" max="517" width="11" customWidth="1"/>
    <col min="518" max="518" width="13.7109375" customWidth="1"/>
    <col min="519" max="519" width="13.140625" customWidth="1"/>
    <col min="520" max="520" width="12.85546875" customWidth="1"/>
    <col min="769" max="769" width="15.5703125" customWidth="1"/>
    <col min="770" max="770" width="13.85546875" customWidth="1"/>
    <col min="771" max="771" width="11.85546875" customWidth="1"/>
    <col min="772" max="772" width="15.28515625" customWidth="1"/>
    <col min="773" max="773" width="11" customWidth="1"/>
    <col min="774" max="774" width="13.7109375" customWidth="1"/>
    <col min="775" max="775" width="13.140625" customWidth="1"/>
    <col min="776" max="776" width="12.85546875" customWidth="1"/>
    <col min="1025" max="1025" width="15.5703125" customWidth="1"/>
    <col min="1026" max="1026" width="13.85546875" customWidth="1"/>
    <col min="1027" max="1027" width="11.85546875" customWidth="1"/>
    <col min="1028" max="1028" width="15.28515625" customWidth="1"/>
    <col min="1029" max="1029" width="11" customWidth="1"/>
    <col min="1030" max="1030" width="13.7109375" customWidth="1"/>
    <col min="1031" max="1031" width="13.140625" customWidth="1"/>
    <col min="1032" max="1032" width="12.85546875" customWidth="1"/>
    <col min="1281" max="1281" width="15.5703125" customWidth="1"/>
    <col min="1282" max="1282" width="13.85546875" customWidth="1"/>
    <col min="1283" max="1283" width="11.85546875" customWidth="1"/>
    <col min="1284" max="1284" width="15.28515625" customWidth="1"/>
    <col min="1285" max="1285" width="11" customWidth="1"/>
    <col min="1286" max="1286" width="13.7109375" customWidth="1"/>
    <col min="1287" max="1287" width="13.140625" customWidth="1"/>
    <col min="1288" max="1288" width="12.85546875" customWidth="1"/>
    <col min="1537" max="1537" width="15.5703125" customWidth="1"/>
    <col min="1538" max="1538" width="13.85546875" customWidth="1"/>
    <col min="1539" max="1539" width="11.85546875" customWidth="1"/>
    <col min="1540" max="1540" width="15.28515625" customWidth="1"/>
    <col min="1541" max="1541" width="11" customWidth="1"/>
    <col min="1542" max="1542" width="13.7109375" customWidth="1"/>
    <col min="1543" max="1543" width="13.140625" customWidth="1"/>
    <col min="1544" max="1544" width="12.85546875" customWidth="1"/>
    <col min="1793" max="1793" width="15.5703125" customWidth="1"/>
    <col min="1794" max="1794" width="13.85546875" customWidth="1"/>
    <col min="1795" max="1795" width="11.85546875" customWidth="1"/>
    <col min="1796" max="1796" width="15.28515625" customWidth="1"/>
    <col min="1797" max="1797" width="11" customWidth="1"/>
    <col min="1798" max="1798" width="13.7109375" customWidth="1"/>
    <col min="1799" max="1799" width="13.140625" customWidth="1"/>
    <col min="1800" max="1800" width="12.85546875" customWidth="1"/>
    <col min="2049" max="2049" width="15.5703125" customWidth="1"/>
    <col min="2050" max="2050" width="13.85546875" customWidth="1"/>
    <col min="2051" max="2051" width="11.85546875" customWidth="1"/>
    <col min="2052" max="2052" width="15.28515625" customWidth="1"/>
    <col min="2053" max="2053" width="11" customWidth="1"/>
    <col min="2054" max="2054" width="13.7109375" customWidth="1"/>
    <col min="2055" max="2055" width="13.140625" customWidth="1"/>
    <col min="2056" max="2056" width="12.85546875" customWidth="1"/>
    <col min="2305" max="2305" width="15.5703125" customWidth="1"/>
    <col min="2306" max="2306" width="13.85546875" customWidth="1"/>
    <col min="2307" max="2307" width="11.85546875" customWidth="1"/>
    <col min="2308" max="2308" width="15.28515625" customWidth="1"/>
    <col min="2309" max="2309" width="11" customWidth="1"/>
    <col min="2310" max="2310" width="13.7109375" customWidth="1"/>
    <col min="2311" max="2311" width="13.140625" customWidth="1"/>
    <col min="2312" max="2312" width="12.85546875" customWidth="1"/>
    <col min="2561" max="2561" width="15.5703125" customWidth="1"/>
    <col min="2562" max="2562" width="13.85546875" customWidth="1"/>
    <col min="2563" max="2563" width="11.85546875" customWidth="1"/>
    <col min="2564" max="2564" width="15.28515625" customWidth="1"/>
    <col min="2565" max="2565" width="11" customWidth="1"/>
    <col min="2566" max="2566" width="13.7109375" customWidth="1"/>
    <col min="2567" max="2567" width="13.140625" customWidth="1"/>
    <col min="2568" max="2568" width="12.85546875" customWidth="1"/>
    <col min="2817" max="2817" width="15.5703125" customWidth="1"/>
    <col min="2818" max="2818" width="13.85546875" customWidth="1"/>
    <col min="2819" max="2819" width="11.85546875" customWidth="1"/>
    <col min="2820" max="2820" width="15.28515625" customWidth="1"/>
    <col min="2821" max="2821" width="11" customWidth="1"/>
    <col min="2822" max="2822" width="13.7109375" customWidth="1"/>
    <col min="2823" max="2823" width="13.140625" customWidth="1"/>
    <col min="2824" max="2824" width="12.85546875" customWidth="1"/>
    <col min="3073" max="3073" width="15.5703125" customWidth="1"/>
    <col min="3074" max="3074" width="13.85546875" customWidth="1"/>
    <col min="3075" max="3075" width="11.85546875" customWidth="1"/>
    <col min="3076" max="3076" width="15.28515625" customWidth="1"/>
    <col min="3077" max="3077" width="11" customWidth="1"/>
    <col min="3078" max="3078" width="13.7109375" customWidth="1"/>
    <col min="3079" max="3079" width="13.140625" customWidth="1"/>
    <col min="3080" max="3080" width="12.85546875" customWidth="1"/>
    <col min="3329" max="3329" width="15.5703125" customWidth="1"/>
    <col min="3330" max="3330" width="13.85546875" customWidth="1"/>
    <col min="3331" max="3331" width="11.85546875" customWidth="1"/>
    <col min="3332" max="3332" width="15.28515625" customWidth="1"/>
    <col min="3333" max="3333" width="11" customWidth="1"/>
    <col min="3334" max="3334" width="13.7109375" customWidth="1"/>
    <col min="3335" max="3335" width="13.140625" customWidth="1"/>
    <col min="3336" max="3336" width="12.85546875" customWidth="1"/>
    <col min="3585" max="3585" width="15.5703125" customWidth="1"/>
    <col min="3586" max="3586" width="13.85546875" customWidth="1"/>
    <col min="3587" max="3587" width="11.85546875" customWidth="1"/>
    <col min="3588" max="3588" width="15.28515625" customWidth="1"/>
    <col min="3589" max="3589" width="11" customWidth="1"/>
    <col min="3590" max="3590" width="13.7109375" customWidth="1"/>
    <col min="3591" max="3591" width="13.140625" customWidth="1"/>
    <col min="3592" max="3592" width="12.85546875" customWidth="1"/>
    <col min="3841" max="3841" width="15.5703125" customWidth="1"/>
    <col min="3842" max="3842" width="13.85546875" customWidth="1"/>
    <col min="3843" max="3843" width="11.85546875" customWidth="1"/>
    <col min="3844" max="3844" width="15.28515625" customWidth="1"/>
    <col min="3845" max="3845" width="11" customWidth="1"/>
    <col min="3846" max="3846" width="13.7109375" customWidth="1"/>
    <col min="3847" max="3847" width="13.140625" customWidth="1"/>
    <col min="3848" max="3848" width="12.85546875" customWidth="1"/>
    <col min="4097" max="4097" width="15.5703125" customWidth="1"/>
    <col min="4098" max="4098" width="13.85546875" customWidth="1"/>
    <col min="4099" max="4099" width="11.85546875" customWidth="1"/>
    <col min="4100" max="4100" width="15.28515625" customWidth="1"/>
    <col min="4101" max="4101" width="11" customWidth="1"/>
    <col min="4102" max="4102" width="13.7109375" customWidth="1"/>
    <col min="4103" max="4103" width="13.140625" customWidth="1"/>
    <col min="4104" max="4104" width="12.85546875" customWidth="1"/>
    <col min="4353" max="4353" width="15.5703125" customWidth="1"/>
    <col min="4354" max="4354" width="13.85546875" customWidth="1"/>
    <col min="4355" max="4355" width="11.85546875" customWidth="1"/>
    <col min="4356" max="4356" width="15.28515625" customWidth="1"/>
    <col min="4357" max="4357" width="11" customWidth="1"/>
    <col min="4358" max="4358" width="13.7109375" customWidth="1"/>
    <col min="4359" max="4359" width="13.140625" customWidth="1"/>
    <col min="4360" max="4360" width="12.85546875" customWidth="1"/>
    <col min="4609" max="4609" width="15.5703125" customWidth="1"/>
    <col min="4610" max="4610" width="13.85546875" customWidth="1"/>
    <col min="4611" max="4611" width="11.85546875" customWidth="1"/>
    <col min="4612" max="4612" width="15.28515625" customWidth="1"/>
    <col min="4613" max="4613" width="11" customWidth="1"/>
    <col min="4614" max="4614" width="13.7109375" customWidth="1"/>
    <col min="4615" max="4615" width="13.140625" customWidth="1"/>
    <col min="4616" max="4616" width="12.85546875" customWidth="1"/>
    <col min="4865" max="4865" width="15.5703125" customWidth="1"/>
    <col min="4866" max="4866" width="13.85546875" customWidth="1"/>
    <col min="4867" max="4867" width="11.85546875" customWidth="1"/>
    <col min="4868" max="4868" width="15.28515625" customWidth="1"/>
    <col min="4869" max="4869" width="11" customWidth="1"/>
    <col min="4870" max="4870" width="13.7109375" customWidth="1"/>
    <col min="4871" max="4871" width="13.140625" customWidth="1"/>
    <col min="4872" max="4872" width="12.85546875" customWidth="1"/>
    <col min="5121" max="5121" width="15.5703125" customWidth="1"/>
    <col min="5122" max="5122" width="13.85546875" customWidth="1"/>
    <col min="5123" max="5123" width="11.85546875" customWidth="1"/>
    <col min="5124" max="5124" width="15.28515625" customWidth="1"/>
    <col min="5125" max="5125" width="11" customWidth="1"/>
    <col min="5126" max="5126" width="13.7109375" customWidth="1"/>
    <col min="5127" max="5127" width="13.140625" customWidth="1"/>
    <col min="5128" max="5128" width="12.85546875" customWidth="1"/>
    <col min="5377" max="5377" width="15.5703125" customWidth="1"/>
    <col min="5378" max="5378" width="13.85546875" customWidth="1"/>
    <col min="5379" max="5379" width="11.85546875" customWidth="1"/>
    <col min="5380" max="5380" width="15.28515625" customWidth="1"/>
    <col min="5381" max="5381" width="11" customWidth="1"/>
    <col min="5382" max="5382" width="13.7109375" customWidth="1"/>
    <col min="5383" max="5383" width="13.140625" customWidth="1"/>
    <col min="5384" max="5384" width="12.85546875" customWidth="1"/>
    <col min="5633" max="5633" width="15.5703125" customWidth="1"/>
    <col min="5634" max="5634" width="13.85546875" customWidth="1"/>
    <col min="5635" max="5635" width="11.85546875" customWidth="1"/>
    <col min="5636" max="5636" width="15.28515625" customWidth="1"/>
    <col min="5637" max="5637" width="11" customWidth="1"/>
    <col min="5638" max="5638" width="13.7109375" customWidth="1"/>
    <col min="5639" max="5639" width="13.140625" customWidth="1"/>
    <col min="5640" max="5640" width="12.85546875" customWidth="1"/>
    <col min="5889" max="5889" width="15.5703125" customWidth="1"/>
    <col min="5890" max="5890" width="13.85546875" customWidth="1"/>
    <col min="5891" max="5891" width="11.85546875" customWidth="1"/>
    <col min="5892" max="5892" width="15.28515625" customWidth="1"/>
    <col min="5893" max="5893" width="11" customWidth="1"/>
    <col min="5894" max="5894" width="13.7109375" customWidth="1"/>
    <col min="5895" max="5895" width="13.140625" customWidth="1"/>
    <col min="5896" max="5896" width="12.85546875" customWidth="1"/>
    <col min="6145" max="6145" width="15.5703125" customWidth="1"/>
    <col min="6146" max="6146" width="13.85546875" customWidth="1"/>
    <col min="6147" max="6147" width="11.85546875" customWidth="1"/>
    <col min="6148" max="6148" width="15.28515625" customWidth="1"/>
    <col min="6149" max="6149" width="11" customWidth="1"/>
    <col min="6150" max="6150" width="13.7109375" customWidth="1"/>
    <col min="6151" max="6151" width="13.140625" customWidth="1"/>
    <col min="6152" max="6152" width="12.85546875" customWidth="1"/>
    <col min="6401" max="6401" width="15.5703125" customWidth="1"/>
    <col min="6402" max="6402" width="13.85546875" customWidth="1"/>
    <col min="6403" max="6403" width="11.85546875" customWidth="1"/>
    <col min="6404" max="6404" width="15.28515625" customWidth="1"/>
    <col min="6405" max="6405" width="11" customWidth="1"/>
    <col min="6406" max="6406" width="13.7109375" customWidth="1"/>
    <col min="6407" max="6407" width="13.140625" customWidth="1"/>
    <col min="6408" max="6408" width="12.85546875" customWidth="1"/>
    <col min="6657" max="6657" width="15.5703125" customWidth="1"/>
    <col min="6658" max="6658" width="13.85546875" customWidth="1"/>
    <col min="6659" max="6659" width="11.85546875" customWidth="1"/>
    <col min="6660" max="6660" width="15.28515625" customWidth="1"/>
    <col min="6661" max="6661" width="11" customWidth="1"/>
    <col min="6662" max="6662" width="13.7109375" customWidth="1"/>
    <col min="6663" max="6663" width="13.140625" customWidth="1"/>
    <col min="6664" max="6664" width="12.85546875" customWidth="1"/>
    <col min="6913" max="6913" width="15.5703125" customWidth="1"/>
    <col min="6914" max="6914" width="13.85546875" customWidth="1"/>
    <col min="6915" max="6915" width="11.85546875" customWidth="1"/>
    <col min="6916" max="6916" width="15.28515625" customWidth="1"/>
    <col min="6917" max="6917" width="11" customWidth="1"/>
    <col min="6918" max="6918" width="13.7109375" customWidth="1"/>
    <col min="6919" max="6919" width="13.140625" customWidth="1"/>
    <col min="6920" max="6920" width="12.85546875" customWidth="1"/>
    <col min="7169" max="7169" width="15.5703125" customWidth="1"/>
    <col min="7170" max="7170" width="13.85546875" customWidth="1"/>
    <col min="7171" max="7171" width="11.85546875" customWidth="1"/>
    <col min="7172" max="7172" width="15.28515625" customWidth="1"/>
    <col min="7173" max="7173" width="11" customWidth="1"/>
    <col min="7174" max="7174" width="13.7109375" customWidth="1"/>
    <col min="7175" max="7175" width="13.140625" customWidth="1"/>
    <col min="7176" max="7176" width="12.85546875" customWidth="1"/>
    <col min="7425" max="7425" width="15.5703125" customWidth="1"/>
    <col min="7426" max="7426" width="13.85546875" customWidth="1"/>
    <col min="7427" max="7427" width="11.85546875" customWidth="1"/>
    <col min="7428" max="7428" width="15.28515625" customWidth="1"/>
    <col min="7429" max="7429" width="11" customWidth="1"/>
    <col min="7430" max="7430" width="13.7109375" customWidth="1"/>
    <col min="7431" max="7431" width="13.140625" customWidth="1"/>
    <col min="7432" max="7432" width="12.85546875" customWidth="1"/>
    <col min="7681" max="7681" width="15.5703125" customWidth="1"/>
    <col min="7682" max="7682" width="13.85546875" customWidth="1"/>
    <col min="7683" max="7683" width="11.85546875" customWidth="1"/>
    <col min="7684" max="7684" width="15.28515625" customWidth="1"/>
    <col min="7685" max="7685" width="11" customWidth="1"/>
    <col min="7686" max="7686" width="13.7109375" customWidth="1"/>
    <col min="7687" max="7687" width="13.140625" customWidth="1"/>
    <col min="7688" max="7688" width="12.85546875" customWidth="1"/>
    <col min="7937" max="7937" width="15.5703125" customWidth="1"/>
    <col min="7938" max="7938" width="13.85546875" customWidth="1"/>
    <col min="7939" max="7939" width="11.85546875" customWidth="1"/>
    <col min="7940" max="7940" width="15.28515625" customWidth="1"/>
    <col min="7941" max="7941" width="11" customWidth="1"/>
    <col min="7942" max="7942" width="13.7109375" customWidth="1"/>
    <col min="7943" max="7943" width="13.140625" customWidth="1"/>
    <col min="7944" max="7944" width="12.85546875" customWidth="1"/>
    <col min="8193" max="8193" width="15.5703125" customWidth="1"/>
    <col min="8194" max="8194" width="13.85546875" customWidth="1"/>
    <col min="8195" max="8195" width="11.85546875" customWidth="1"/>
    <col min="8196" max="8196" width="15.28515625" customWidth="1"/>
    <col min="8197" max="8197" width="11" customWidth="1"/>
    <col min="8198" max="8198" width="13.7109375" customWidth="1"/>
    <col min="8199" max="8199" width="13.140625" customWidth="1"/>
    <col min="8200" max="8200" width="12.85546875" customWidth="1"/>
    <col min="8449" max="8449" width="15.5703125" customWidth="1"/>
    <col min="8450" max="8450" width="13.85546875" customWidth="1"/>
    <col min="8451" max="8451" width="11.85546875" customWidth="1"/>
    <col min="8452" max="8452" width="15.28515625" customWidth="1"/>
    <col min="8453" max="8453" width="11" customWidth="1"/>
    <col min="8454" max="8454" width="13.7109375" customWidth="1"/>
    <col min="8455" max="8455" width="13.140625" customWidth="1"/>
    <col min="8456" max="8456" width="12.85546875" customWidth="1"/>
    <col min="8705" max="8705" width="15.5703125" customWidth="1"/>
    <col min="8706" max="8706" width="13.85546875" customWidth="1"/>
    <col min="8707" max="8707" width="11.85546875" customWidth="1"/>
    <col min="8708" max="8708" width="15.28515625" customWidth="1"/>
    <col min="8709" max="8709" width="11" customWidth="1"/>
    <col min="8710" max="8710" width="13.7109375" customWidth="1"/>
    <col min="8711" max="8711" width="13.140625" customWidth="1"/>
    <col min="8712" max="8712" width="12.85546875" customWidth="1"/>
    <col min="8961" max="8961" width="15.5703125" customWidth="1"/>
    <col min="8962" max="8962" width="13.85546875" customWidth="1"/>
    <col min="8963" max="8963" width="11.85546875" customWidth="1"/>
    <col min="8964" max="8964" width="15.28515625" customWidth="1"/>
    <col min="8965" max="8965" width="11" customWidth="1"/>
    <col min="8966" max="8966" width="13.7109375" customWidth="1"/>
    <col min="8967" max="8967" width="13.140625" customWidth="1"/>
    <col min="8968" max="8968" width="12.85546875" customWidth="1"/>
    <col min="9217" max="9217" width="15.5703125" customWidth="1"/>
    <col min="9218" max="9218" width="13.85546875" customWidth="1"/>
    <col min="9219" max="9219" width="11.85546875" customWidth="1"/>
    <col min="9220" max="9220" width="15.28515625" customWidth="1"/>
    <col min="9221" max="9221" width="11" customWidth="1"/>
    <col min="9222" max="9222" width="13.7109375" customWidth="1"/>
    <col min="9223" max="9223" width="13.140625" customWidth="1"/>
    <col min="9224" max="9224" width="12.85546875" customWidth="1"/>
    <col min="9473" max="9473" width="15.5703125" customWidth="1"/>
    <col min="9474" max="9474" width="13.85546875" customWidth="1"/>
    <col min="9475" max="9475" width="11.85546875" customWidth="1"/>
    <col min="9476" max="9476" width="15.28515625" customWidth="1"/>
    <col min="9477" max="9477" width="11" customWidth="1"/>
    <col min="9478" max="9478" width="13.7109375" customWidth="1"/>
    <col min="9479" max="9479" width="13.140625" customWidth="1"/>
    <col min="9480" max="9480" width="12.85546875" customWidth="1"/>
    <col min="9729" max="9729" width="15.5703125" customWidth="1"/>
    <col min="9730" max="9730" width="13.85546875" customWidth="1"/>
    <col min="9731" max="9731" width="11.85546875" customWidth="1"/>
    <col min="9732" max="9732" width="15.28515625" customWidth="1"/>
    <col min="9733" max="9733" width="11" customWidth="1"/>
    <col min="9734" max="9734" width="13.7109375" customWidth="1"/>
    <col min="9735" max="9735" width="13.140625" customWidth="1"/>
    <col min="9736" max="9736" width="12.85546875" customWidth="1"/>
    <col min="9985" max="9985" width="15.5703125" customWidth="1"/>
    <col min="9986" max="9986" width="13.85546875" customWidth="1"/>
    <col min="9987" max="9987" width="11.85546875" customWidth="1"/>
    <col min="9988" max="9988" width="15.28515625" customWidth="1"/>
    <col min="9989" max="9989" width="11" customWidth="1"/>
    <col min="9990" max="9990" width="13.7109375" customWidth="1"/>
    <col min="9991" max="9991" width="13.140625" customWidth="1"/>
    <col min="9992" max="9992" width="12.85546875" customWidth="1"/>
    <col min="10241" max="10241" width="15.5703125" customWidth="1"/>
    <col min="10242" max="10242" width="13.85546875" customWidth="1"/>
    <col min="10243" max="10243" width="11.85546875" customWidth="1"/>
    <col min="10244" max="10244" width="15.28515625" customWidth="1"/>
    <col min="10245" max="10245" width="11" customWidth="1"/>
    <col min="10246" max="10246" width="13.7109375" customWidth="1"/>
    <col min="10247" max="10247" width="13.140625" customWidth="1"/>
    <col min="10248" max="10248" width="12.85546875" customWidth="1"/>
    <col min="10497" max="10497" width="15.5703125" customWidth="1"/>
    <col min="10498" max="10498" width="13.85546875" customWidth="1"/>
    <col min="10499" max="10499" width="11.85546875" customWidth="1"/>
    <col min="10500" max="10500" width="15.28515625" customWidth="1"/>
    <col min="10501" max="10501" width="11" customWidth="1"/>
    <col min="10502" max="10502" width="13.7109375" customWidth="1"/>
    <col min="10503" max="10503" width="13.140625" customWidth="1"/>
    <col min="10504" max="10504" width="12.85546875" customWidth="1"/>
    <col min="10753" max="10753" width="15.5703125" customWidth="1"/>
    <col min="10754" max="10754" width="13.85546875" customWidth="1"/>
    <col min="10755" max="10755" width="11.85546875" customWidth="1"/>
    <col min="10756" max="10756" width="15.28515625" customWidth="1"/>
    <col min="10757" max="10757" width="11" customWidth="1"/>
    <col min="10758" max="10758" width="13.7109375" customWidth="1"/>
    <col min="10759" max="10759" width="13.140625" customWidth="1"/>
    <col min="10760" max="10760" width="12.85546875" customWidth="1"/>
    <col min="11009" max="11009" width="15.5703125" customWidth="1"/>
    <col min="11010" max="11010" width="13.85546875" customWidth="1"/>
    <col min="11011" max="11011" width="11.85546875" customWidth="1"/>
    <col min="11012" max="11012" width="15.28515625" customWidth="1"/>
    <col min="11013" max="11013" width="11" customWidth="1"/>
    <col min="11014" max="11014" width="13.7109375" customWidth="1"/>
    <col min="11015" max="11015" width="13.140625" customWidth="1"/>
    <col min="11016" max="11016" width="12.85546875" customWidth="1"/>
    <col min="11265" max="11265" width="15.5703125" customWidth="1"/>
    <col min="11266" max="11266" width="13.85546875" customWidth="1"/>
    <col min="11267" max="11267" width="11.85546875" customWidth="1"/>
    <col min="11268" max="11268" width="15.28515625" customWidth="1"/>
    <col min="11269" max="11269" width="11" customWidth="1"/>
    <col min="11270" max="11270" width="13.7109375" customWidth="1"/>
    <col min="11271" max="11271" width="13.140625" customWidth="1"/>
    <col min="11272" max="11272" width="12.85546875" customWidth="1"/>
    <col min="11521" max="11521" width="15.5703125" customWidth="1"/>
    <col min="11522" max="11522" width="13.85546875" customWidth="1"/>
    <col min="11523" max="11523" width="11.85546875" customWidth="1"/>
    <col min="11524" max="11524" width="15.28515625" customWidth="1"/>
    <col min="11525" max="11525" width="11" customWidth="1"/>
    <col min="11526" max="11526" width="13.7109375" customWidth="1"/>
    <col min="11527" max="11527" width="13.140625" customWidth="1"/>
    <col min="11528" max="11528" width="12.85546875" customWidth="1"/>
    <col min="11777" max="11777" width="15.5703125" customWidth="1"/>
    <col min="11778" max="11778" width="13.85546875" customWidth="1"/>
    <col min="11779" max="11779" width="11.85546875" customWidth="1"/>
    <col min="11780" max="11780" width="15.28515625" customWidth="1"/>
    <col min="11781" max="11781" width="11" customWidth="1"/>
    <col min="11782" max="11782" width="13.7109375" customWidth="1"/>
    <col min="11783" max="11783" width="13.140625" customWidth="1"/>
    <col min="11784" max="11784" width="12.85546875" customWidth="1"/>
    <col min="12033" max="12033" width="15.5703125" customWidth="1"/>
    <col min="12034" max="12034" width="13.85546875" customWidth="1"/>
    <col min="12035" max="12035" width="11.85546875" customWidth="1"/>
    <col min="12036" max="12036" width="15.28515625" customWidth="1"/>
    <col min="12037" max="12037" width="11" customWidth="1"/>
    <col min="12038" max="12038" width="13.7109375" customWidth="1"/>
    <col min="12039" max="12039" width="13.140625" customWidth="1"/>
    <col min="12040" max="12040" width="12.85546875" customWidth="1"/>
    <col min="12289" max="12289" width="15.5703125" customWidth="1"/>
    <col min="12290" max="12290" width="13.85546875" customWidth="1"/>
    <col min="12291" max="12291" width="11.85546875" customWidth="1"/>
    <col min="12292" max="12292" width="15.28515625" customWidth="1"/>
    <col min="12293" max="12293" width="11" customWidth="1"/>
    <col min="12294" max="12294" width="13.7109375" customWidth="1"/>
    <col min="12295" max="12295" width="13.140625" customWidth="1"/>
    <col min="12296" max="12296" width="12.85546875" customWidth="1"/>
    <col min="12545" max="12545" width="15.5703125" customWidth="1"/>
    <col min="12546" max="12546" width="13.85546875" customWidth="1"/>
    <col min="12547" max="12547" width="11.85546875" customWidth="1"/>
    <col min="12548" max="12548" width="15.28515625" customWidth="1"/>
    <col min="12549" max="12549" width="11" customWidth="1"/>
    <col min="12550" max="12550" width="13.7109375" customWidth="1"/>
    <col min="12551" max="12551" width="13.140625" customWidth="1"/>
    <col min="12552" max="12552" width="12.85546875" customWidth="1"/>
    <col min="12801" max="12801" width="15.5703125" customWidth="1"/>
    <col min="12802" max="12802" width="13.85546875" customWidth="1"/>
    <col min="12803" max="12803" width="11.85546875" customWidth="1"/>
    <col min="12804" max="12804" width="15.28515625" customWidth="1"/>
    <col min="12805" max="12805" width="11" customWidth="1"/>
    <col min="12806" max="12806" width="13.7109375" customWidth="1"/>
    <col min="12807" max="12807" width="13.140625" customWidth="1"/>
    <col min="12808" max="12808" width="12.85546875" customWidth="1"/>
    <col min="13057" max="13057" width="15.5703125" customWidth="1"/>
    <col min="13058" max="13058" width="13.85546875" customWidth="1"/>
    <col min="13059" max="13059" width="11.85546875" customWidth="1"/>
    <col min="13060" max="13060" width="15.28515625" customWidth="1"/>
    <col min="13061" max="13061" width="11" customWidth="1"/>
    <col min="13062" max="13062" width="13.7109375" customWidth="1"/>
    <col min="13063" max="13063" width="13.140625" customWidth="1"/>
    <col min="13064" max="13064" width="12.85546875" customWidth="1"/>
    <col min="13313" max="13313" width="15.5703125" customWidth="1"/>
    <col min="13314" max="13314" width="13.85546875" customWidth="1"/>
    <col min="13315" max="13315" width="11.85546875" customWidth="1"/>
    <col min="13316" max="13316" width="15.28515625" customWidth="1"/>
    <col min="13317" max="13317" width="11" customWidth="1"/>
    <col min="13318" max="13318" width="13.7109375" customWidth="1"/>
    <col min="13319" max="13319" width="13.140625" customWidth="1"/>
    <col min="13320" max="13320" width="12.85546875" customWidth="1"/>
    <col min="13569" max="13569" width="15.5703125" customWidth="1"/>
    <col min="13570" max="13570" width="13.85546875" customWidth="1"/>
    <col min="13571" max="13571" width="11.85546875" customWidth="1"/>
    <col min="13572" max="13572" width="15.28515625" customWidth="1"/>
    <col min="13573" max="13573" width="11" customWidth="1"/>
    <col min="13574" max="13574" width="13.7109375" customWidth="1"/>
    <col min="13575" max="13575" width="13.140625" customWidth="1"/>
    <col min="13576" max="13576" width="12.85546875" customWidth="1"/>
    <col min="13825" max="13825" width="15.5703125" customWidth="1"/>
    <col min="13826" max="13826" width="13.85546875" customWidth="1"/>
    <col min="13827" max="13827" width="11.85546875" customWidth="1"/>
    <col min="13828" max="13828" width="15.28515625" customWidth="1"/>
    <col min="13829" max="13829" width="11" customWidth="1"/>
    <col min="13830" max="13830" width="13.7109375" customWidth="1"/>
    <col min="13831" max="13831" width="13.140625" customWidth="1"/>
    <col min="13832" max="13832" width="12.85546875" customWidth="1"/>
    <col min="14081" max="14081" width="15.5703125" customWidth="1"/>
    <col min="14082" max="14082" width="13.85546875" customWidth="1"/>
    <col min="14083" max="14083" width="11.85546875" customWidth="1"/>
    <col min="14084" max="14084" width="15.28515625" customWidth="1"/>
    <col min="14085" max="14085" width="11" customWidth="1"/>
    <col min="14086" max="14086" width="13.7109375" customWidth="1"/>
    <col min="14087" max="14087" width="13.140625" customWidth="1"/>
    <col min="14088" max="14088" width="12.85546875" customWidth="1"/>
    <col min="14337" max="14337" width="15.5703125" customWidth="1"/>
    <col min="14338" max="14338" width="13.85546875" customWidth="1"/>
    <col min="14339" max="14339" width="11.85546875" customWidth="1"/>
    <col min="14340" max="14340" width="15.28515625" customWidth="1"/>
    <col min="14341" max="14341" width="11" customWidth="1"/>
    <col min="14342" max="14342" width="13.7109375" customWidth="1"/>
    <col min="14343" max="14343" width="13.140625" customWidth="1"/>
    <col min="14344" max="14344" width="12.85546875" customWidth="1"/>
    <col min="14593" max="14593" width="15.5703125" customWidth="1"/>
    <col min="14594" max="14594" width="13.85546875" customWidth="1"/>
    <col min="14595" max="14595" width="11.85546875" customWidth="1"/>
    <col min="14596" max="14596" width="15.28515625" customWidth="1"/>
    <col min="14597" max="14597" width="11" customWidth="1"/>
    <col min="14598" max="14598" width="13.7109375" customWidth="1"/>
    <col min="14599" max="14599" width="13.140625" customWidth="1"/>
    <col min="14600" max="14600" width="12.85546875" customWidth="1"/>
    <col min="14849" max="14849" width="15.5703125" customWidth="1"/>
    <col min="14850" max="14850" width="13.85546875" customWidth="1"/>
    <col min="14851" max="14851" width="11.85546875" customWidth="1"/>
    <col min="14852" max="14852" width="15.28515625" customWidth="1"/>
    <col min="14853" max="14853" width="11" customWidth="1"/>
    <col min="14854" max="14854" width="13.7109375" customWidth="1"/>
    <col min="14855" max="14855" width="13.140625" customWidth="1"/>
    <col min="14856" max="14856" width="12.85546875" customWidth="1"/>
    <col min="15105" max="15105" width="15.5703125" customWidth="1"/>
    <col min="15106" max="15106" width="13.85546875" customWidth="1"/>
    <col min="15107" max="15107" width="11.85546875" customWidth="1"/>
    <col min="15108" max="15108" width="15.28515625" customWidth="1"/>
    <col min="15109" max="15109" width="11" customWidth="1"/>
    <col min="15110" max="15110" width="13.7109375" customWidth="1"/>
    <col min="15111" max="15111" width="13.140625" customWidth="1"/>
    <col min="15112" max="15112" width="12.85546875" customWidth="1"/>
    <col min="15361" max="15361" width="15.5703125" customWidth="1"/>
    <col min="15362" max="15362" width="13.85546875" customWidth="1"/>
    <col min="15363" max="15363" width="11.85546875" customWidth="1"/>
    <col min="15364" max="15364" width="15.28515625" customWidth="1"/>
    <col min="15365" max="15365" width="11" customWidth="1"/>
    <col min="15366" max="15366" width="13.7109375" customWidth="1"/>
    <col min="15367" max="15367" width="13.140625" customWidth="1"/>
    <col min="15368" max="15368" width="12.85546875" customWidth="1"/>
    <col min="15617" max="15617" width="15.5703125" customWidth="1"/>
    <col min="15618" max="15618" width="13.85546875" customWidth="1"/>
    <col min="15619" max="15619" width="11.85546875" customWidth="1"/>
    <col min="15620" max="15620" width="15.28515625" customWidth="1"/>
    <col min="15621" max="15621" width="11" customWidth="1"/>
    <col min="15622" max="15622" width="13.7109375" customWidth="1"/>
    <col min="15623" max="15623" width="13.140625" customWidth="1"/>
    <col min="15624" max="15624" width="12.85546875" customWidth="1"/>
    <col min="15873" max="15873" width="15.5703125" customWidth="1"/>
    <col min="15874" max="15874" width="13.85546875" customWidth="1"/>
    <col min="15875" max="15875" width="11.85546875" customWidth="1"/>
    <col min="15876" max="15876" width="15.28515625" customWidth="1"/>
    <col min="15877" max="15877" width="11" customWidth="1"/>
    <col min="15878" max="15878" width="13.7109375" customWidth="1"/>
    <col min="15879" max="15879" width="13.140625" customWidth="1"/>
    <col min="15880" max="15880" width="12.85546875" customWidth="1"/>
    <col min="16129" max="16129" width="15.5703125" customWidth="1"/>
    <col min="16130" max="16130" width="13.85546875" customWidth="1"/>
    <col min="16131" max="16131" width="11.85546875" customWidth="1"/>
    <col min="16132" max="16132" width="15.28515625" customWidth="1"/>
    <col min="16133" max="16133" width="11" customWidth="1"/>
    <col min="16134" max="16134" width="13.7109375" customWidth="1"/>
    <col min="16135" max="16135" width="13.140625" customWidth="1"/>
    <col min="16136" max="16136" width="12.85546875" customWidth="1"/>
  </cols>
  <sheetData>
    <row r="1" spans="1:9" ht="14.25" x14ac:dyDescent="0.2">
      <c r="A1" s="302"/>
      <c r="B1" s="303"/>
      <c r="C1" s="303"/>
      <c r="D1" s="303"/>
      <c r="E1" s="303"/>
    </row>
    <row r="2" spans="1:9" ht="15" x14ac:dyDescent="0.25">
      <c r="A2" s="302"/>
      <c r="B2" s="303"/>
      <c r="C2" s="303"/>
      <c r="D2" s="304" t="s">
        <v>246</v>
      </c>
      <c r="E2" s="305"/>
    </row>
    <row r="4" spans="1:9" ht="13.5" thickBot="1" x14ac:dyDescent="0.25">
      <c r="I4" s="306"/>
    </row>
    <row r="5" spans="1:9" ht="15" x14ac:dyDescent="0.25">
      <c r="A5" s="578" t="s">
        <v>235</v>
      </c>
      <c r="B5" s="579"/>
      <c r="C5" s="579"/>
      <c r="D5" s="579"/>
      <c r="E5" s="579"/>
      <c r="F5" s="580"/>
      <c r="G5" s="580"/>
      <c r="H5" s="581"/>
    </row>
    <row r="6" spans="1:9" ht="15" x14ac:dyDescent="0.25">
      <c r="A6" s="307"/>
      <c r="B6" s="308" t="s">
        <v>236</v>
      </c>
      <c r="C6" s="308" t="s">
        <v>237</v>
      </c>
      <c r="D6" s="308" t="s">
        <v>238</v>
      </c>
      <c r="E6" s="308" t="s">
        <v>239</v>
      </c>
      <c r="F6" s="309" t="s">
        <v>240</v>
      </c>
      <c r="G6" s="310" t="s">
        <v>241</v>
      </c>
      <c r="H6" s="311" t="s">
        <v>123</v>
      </c>
    </row>
    <row r="7" spans="1:9" ht="15" x14ac:dyDescent="0.25">
      <c r="A7" s="307"/>
      <c r="B7" s="312"/>
      <c r="C7" s="312"/>
      <c r="D7" s="312"/>
      <c r="E7" s="312"/>
      <c r="F7" s="313"/>
      <c r="G7" s="314"/>
      <c r="H7" s="315"/>
    </row>
    <row r="8" spans="1:9" ht="14.25" x14ac:dyDescent="0.2">
      <c r="A8" s="316" t="s">
        <v>183</v>
      </c>
      <c r="B8" s="317">
        <v>22657288</v>
      </c>
      <c r="C8" s="317">
        <v>25613045</v>
      </c>
      <c r="D8" s="317">
        <v>3745661</v>
      </c>
      <c r="E8" s="317"/>
      <c r="F8" s="318">
        <v>3054286</v>
      </c>
      <c r="G8" s="319"/>
      <c r="H8" s="320">
        <f>SUM(B8:G8)</f>
        <v>55070280</v>
      </c>
    </row>
    <row r="9" spans="1:9" ht="14.25" x14ac:dyDescent="0.2">
      <c r="A9" s="316" t="s">
        <v>242</v>
      </c>
      <c r="B9" s="321">
        <v>457158</v>
      </c>
      <c r="C9" s="321"/>
      <c r="D9" s="317"/>
      <c r="E9" s="317"/>
      <c r="F9" s="318"/>
      <c r="G9" s="319"/>
      <c r="H9" s="320">
        <f>SUM(B9:G9)</f>
        <v>457158</v>
      </c>
    </row>
    <row r="10" spans="1:9" ht="14.25" x14ac:dyDescent="0.2">
      <c r="A10" s="316" t="s">
        <v>243</v>
      </c>
      <c r="B10" s="321">
        <v>1541723</v>
      </c>
      <c r="C10" s="321"/>
      <c r="D10" s="317"/>
      <c r="E10" s="317"/>
      <c r="F10" s="318"/>
      <c r="G10" s="319"/>
      <c r="H10" s="320">
        <v>1541723</v>
      </c>
    </row>
    <row r="11" spans="1:9" ht="14.25" x14ac:dyDescent="0.2">
      <c r="A11" s="316" t="s">
        <v>244</v>
      </c>
      <c r="B11" s="322">
        <v>159900</v>
      </c>
      <c r="C11" s="322"/>
      <c r="D11" s="323">
        <v>522445</v>
      </c>
      <c r="E11" s="317"/>
      <c r="F11" s="318">
        <v>209169</v>
      </c>
      <c r="G11" s="319"/>
      <c r="H11" s="320">
        <f>SUM(B11:G11)</f>
        <v>891514</v>
      </c>
    </row>
    <row r="12" spans="1:9" ht="14.25" x14ac:dyDescent="0.2">
      <c r="A12" s="316" t="s">
        <v>245</v>
      </c>
      <c r="B12" s="317"/>
      <c r="C12" s="317"/>
      <c r="D12" s="317"/>
      <c r="E12" s="317"/>
      <c r="F12" s="318"/>
      <c r="G12" s="319"/>
      <c r="H12" s="324"/>
    </row>
    <row r="13" spans="1:9" ht="14.25" x14ac:dyDescent="0.2">
      <c r="A13" s="316"/>
      <c r="B13" s="317"/>
      <c r="C13" s="317"/>
      <c r="D13" s="317"/>
      <c r="E13" s="317"/>
      <c r="F13" s="318"/>
      <c r="G13" s="319"/>
      <c r="H13" s="324"/>
    </row>
    <row r="14" spans="1:9" ht="15" x14ac:dyDescent="0.25">
      <c r="A14" s="325" t="s">
        <v>123</v>
      </c>
      <c r="B14" s="326">
        <f>SUM(B8:B12)</f>
        <v>24816069</v>
      </c>
      <c r="C14" s="326">
        <f>SUM(C7:C13)</f>
        <v>25613045</v>
      </c>
      <c r="D14" s="326">
        <f>SUM(D8:D12)</f>
        <v>4268106</v>
      </c>
      <c r="E14" s="326">
        <v>0</v>
      </c>
      <c r="F14" s="326">
        <f>SUM(F8:F12)</f>
        <v>3263455</v>
      </c>
      <c r="G14" s="327">
        <f>SUM(G8:G13)</f>
        <v>0</v>
      </c>
      <c r="H14" s="328">
        <f>SUM(B14:G14)</f>
        <v>57960675</v>
      </c>
    </row>
    <row r="15" spans="1:9" ht="15" thickBot="1" x14ac:dyDescent="0.25">
      <c r="A15" s="329"/>
      <c r="B15" s="330"/>
      <c r="C15" s="330"/>
      <c r="D15" s="330"/>
      <c r="E15" s="330"/>
      <c r="F15" s="331"/>
      <c r="G15" s="332"/>
      <c r="H15" s="333"/>
    </row>
    <row r="16" spans="1:9" ht="15" x14ac:dyDescent="0.2">
      <c r="E16" s="334"/>
    </row>
  </sheetData>
  <mergeCells count="1">
    <mergeCell ref="A5:H5"/>
  </mergeCells>
  <pageMargins left="0.78740157480314965" right="0.78740157480314965" top="0.78740157480314965" bottom="0.78740157480314965" header="0.51181102362204722" footer="0.51181102362204722"/>
  <pageSetup paperSize="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68"/>
  <sheetViews>
    <sheetView zoomScaleNormal="100" workbookViewId="0">
      <selection activeCell="E3" sqref="E3"/>
    </sheetView>
  </sheetViews>
  <sheetFormatPr defaultRowHeight="12.75" x14ac:dyDescent="0.2"/>
  <cols>
    <col min="1" max="1" width="14" customWidth="1"/>
    <col min="2" max="2" width="22.28515625" customWidth="1"/>
    <col min="3" max="3" width="40" customWidth="1"/>
    <col min="4" max="4" width="13.7109375" customWidth="1"/>
    <col min="5" max="5" width="0.42578125" customWidth="1"/>
  </cols>
  <sheetData>
    <row r="2" spans="1:5" ht="13.5" thickBot="1" x14ac:dyDescent="0.25">
      <c r="D2" t="s">
        <v>326</v>
      </c>
    </row>
    <row r="3" spans="1:5" ht="13.5" thickBot="1" x14ac:dyDescent="0.25">
      <c r="A3" s="582" t="s">
        <v>247</v>
      </c>
      <c r="B3" s="583"/>
      <c r="C3" s="583"/>
      <c r="D3" s="584"/>
    </row>
    <row r="4" spans="1:5" x14ac:dyDescent="0.2">
      <c r="A4" s="335"/>
      <c r="B4" s="336"/>
      <c r="C4" s="337" t="s">
        <v>0</v>
      </c>
      <c r="D4" s="338" t="s">
        <v>248</v>
      </c>
    </row>
    <row r="5" spans="1:5" x14ac:dyDescent="0.2">
      <c r="A5" s="339"/>
      <c r="B5" s="340" t="s">
        <v>249</v>
      </c>
      <c r="C5" s="341"/>
      <c r="D5" s="342"/>
    </row>
    <row r="6" spans="1:5" x14ac:dyDescent="0.2">
      <c r="A6" s="343" t="s">
        <v>240</v>
      </c>
      <c r="B6" s="340"/>
      <c r="C6" s="341"/>
      <c r="D6" s="344"/>
    </row>
    <row r="7" spans="1:5" x14ac:dyDescent="0.2">
      <c r="A7" s="343"/>
      <c r="B7" s="340"/>
      <c r="C7" s="341" t="s">
        <v>250</v>
      </c>
      <c r="D7" s="344">
        <v>404241</v>
      </c>
    </row>
    <row r="8" spans="1:5" x14ac:dyDescent="0.2">
      <c r="A8" s="343"/>
      <c r="B8" s="340"/>
      <c r="C8" s="341" t="s">
        <v>251</v>
      </c>
      <c r="D8" s="344">
        <v>739800</v>
      </c>
    </row>
    <row r="9" spans="1:5" x14ac:dyDescent="0.2">
      <c r="A9" s="343"/>
      <c r="B9" s="340"/>
      <c r="C9" s="341" t="s">
        <v>252</v>
      </c>
      <c r="D9" s="344">
        <v>1220000</v>
      </c>
    </row>
    <row r="10" spans="1:5" x14ac:dyDescent="0.2">
      <c r="A10" s="343"/>
      <c r="B10" s="340"/>
      <c r="C10" s="341" t="s">
        <v>253</v>
      </c>
      <c r="D10" s="344">
        <v>482600</v>
      </c>
    </row>
    <row r="11" spans="1:5" x14ac:dyDescent="0.2">
      <c r="A11" s="343"/>
      <c r="B11" s="340"/>
      <c r="C11" s="341" t="s">
        <v>254</v>
      </c>
      <c r="D11" s="344">
        <v>19050</v>
      </c>
    </row>
    <row r="12" spans="1:5" x14ac:dyDescent="0.2">
      <c r="A12" s="343"/>
      <c r="B12" s="345" t="s">
        <v>255</v>
      </c>
      <c r="C12" s="341" t="s">
        <v>256</v>
      </c>
      <c r="D12" s="344">
        <v>188595</v>
      </c>
      <c r="E12" s="346">
        <f>SUM(D7:D12)</f>
        <v>3054286</v>
      </c>
    </row>
    <row r="13" spans="1:5" x14ac:dyDescent="0.2">
      <c r="A13" s="343"/>
      <c r="B13" s="340"/>
      <c r="C13" s="341"/>
      <c r="D13" s="344"/>
    </row>
    <row r="14" spans="1:5" x14ac:dyDescent="0.2">
      <c r="A14" s="343" t="s">
        <v>257</v>
      </c>
      <c r="B14" s="341"/>
      <c r="C14" s="341"/>
      <c r="D14" s="344"/>
    </row>
    <row r="15" spans="1:5" x14ac:dyDescent="0.2">
      <c r="A15" s="343"/>
      <c r="B15" s="341" t="s">
        <v>258</v>
      </c>
      <c r="C15" s="341" t="s">
        <v>259</v>
      </c>
      <c r="D15" s="344">
        <v>140000</v>
      </c>
    </row>
    <row r="16" spans="1:5" x14ac:dyDescent="0.2">
      <c r="A16" s="343"/>
      <c r="B16" s="341" t="s">
        <v>260</v>
      </c>
      <c r="C16" s="347" t="s">
        <v>261</v>
      </c>
      <c r="D16" s="348">
        <v>2011871</v>
      </c>
    </row>
    <row r="17" spans="1:4" x14ac:dyDescent="0.2">
      <c r="A17" s="343"/>
      <c r="B17" s="341"/>
      <c r="C17" s="347" t="s">
        <v>262</v>
      </c>
      <c r="D17" s="348">
        <v>1180148</v>
      </c>
    </row>
    <row r="18" spans="1:4" x14ac:dyDescent="0.2">
      <c r="A18" s="343"/>
      <c r="B18" s="341"/>
      <c r="C18" s="341" t="s">
        <v>263</v>
      </c>
      <c r="D18" s="344">
        <v>50248</v>
      </c>
    </row>
    <row r="19" spans="1:4" x14ac:dyDescent="0.2">
      <c r="A19" s="343"/>
      <c r="B19" s="341"/>
      <c r="C19" s="341" t="s">
        <v>264</v>
      </c>
      <c r="D19" s="344">
        <v>121920</v>
      </c>
    </row>
    <row r="20" spans="1:4" x14ac:dyDescent="0.2">
      <c r="A20" s="343"/>
      <c r="B20" s="341"/>
      <c r="C20" s="341" t="s">
        <v>265</v>
      </c>
      <c r="D20" s="344">
        <v>151129</v>
      </c>
    </row>
    <row r="21" spans="1:4" x14ac:dyDescent="0.2">
      <c r="A21" s="343"/>
      <c r="B21" s="341" t="s">
        <v>266</v>
      </c>
      <c r="C21" s="341" t="s">
        <v>267</v>
      </c>
      <c r="D21" s="344">
        <v>64005</v>
      </c>
    </row>
    <row r="22" spans="1:4" x14ac:dyDescent="0.2">
      <c r="A22" s="343"/>
      <c r="B22" s="341" t="s">
        <v>268</v>
      </c>
      <c r="C22" s="341" t="s">
        <v>269</v>
      </c>
      <c r="D22" s="344">
        <v>4225915</v>
      </c>
    </row>
    <row r="23" spans="1:4" x14ac:dyDescent="0.2">
      <c r="A23" s="343"/>
      <c r="B23" s="341" t="s">
        <v>270</v>
      </c>
      <c r="C23" s="341" t="s">
        <v>271</v>
      </c>
      <c r="D23" s="344">
        <v>1384300</v>
      </c>
    </row>
    <row r="24" spans="1:4" x14ac:dyDescent="0.2">
      <c r="A24" s="349"/>
      <c r="B24" s="341" t="s">
        <v>272</v>
      </c>
      <c r="C24" s="341" t="s">
        <v>273</v>
      </c>
      <c r="D24" s="344">
        <v>3700780</v>
      </c>
    </row>
    <row r="25" spans="1:4" x14ac:dyDescent="0.2">
      <c r="A25" s="343"/>
      <c r="B25" s="341"/>
      <c r="C25" s="341" t="s">
        <v>274</v>
      </c>
      <c r="D25" s="344">
        <v>140716</v>
      </c>
    </row>
    <row r="26" spans="1:4" x14ac:dyDescent="0.2">
      <c r="A26" s="350"/>
      <c r="B26" s="351" t="s">
        <v>275</v>
      </c>
      <c r="C26" s="351" t="s">
        <v>276</v>
      </c>
      <c r="D26" s="352">
        <v>1376680</v>
      </c>
    </row>
    <row r="27" spans="1:4" x14ac:dyDescent="0.2">
      <c r="A27" s="350"/>
      <c r="B27" s="351" t="s">
        <v>277</v>
      </c>
      <c r="C27" s="351" t="s">
        <v>278</v>
      </c>
      <c r="D27" s="352">
        <v>135382</v>
      </c>
    </row>
    <row r="28" spans="1:4" x14ac:dyDescent="0.2">
      <c r="A28" s="350"/>
      <c r="B28" s="351" t="s">
        <v>279</v>
      </c>
      <c r="C28" s="351" t="s">
        <v>280</v>
      </c>
      <c r="D28" s="352">
        <v>312001</v>
      </c>
    </row>
    <row r="29" spans="1:4" x14ac:dyDescent="0.2">
      <c r="A29" s="350"/>
      <c r="B29" s="351"/>
      <c r="C29" s="351" t="s">
        <v>281</v>
      </c>
      <c r="D29" s="352">
        <v>3615973</v>
      </c>
    </row>
    <row r="30" spans="1:4" x14ac:dyDescent="0.2">
      <c r="A30" s="350"/>
      <c r="B30" s="351"/>
      <c r="C30" s="351" t="s">
        <v>282</v>
      </c>
      <c r="D30" s="352">
        <v>2654300</v>
      </c>
    </row>
    <row r="31" spans="1:4" x14ac:dyDescent="0.2">
      <c r="A31" s="350"/>
      <c r="B31" s="351"/>
      <c r="C31" s="351" t="s">
        <v>283</v>
      </c>
      <c r="D31" s="352">
        <v>114300</v>
      </c>
    </row>
    <row r="32" spans="1:4" x14ac:dyDescent="0.2">
      <c r="A32" s="350"/>
      <c r="B32" s="351"/>
      <c r="C32" s="351" t="s">
        <v>284</v>
      </c>
      <c r="D32" s="352">
        <v>477520</v>
      </c>
    </row>
    <row r="33" spans="1:5" x14ac:dyDescent="0.2">
      <c r="A33" s="350"/>
      <c r="B33" s="351"/>
      <c r="C33" s="351" t="s">
        <v>285</v>
      </c>
      <c r="D33" s="352">
        <v>76200</v>
      </c>
    </row>
    <row r="34" spans="1:5" x14ac:dyDescent="0.2">
      <c r="A34" s="350"/>
      <c r="B34" s="351"/>
      <c r="C34" s="351" t="s">
        <v>286</v>
      </c>
      <c r="D34" s="352">
        <v>723900</v>
      </c>
      <c r="E34" s="346">
        <f>SUM(D15:D34)</f>
        <v>22657288</v>
      </c>
    </row>
    <row r="35" spans="1:5" x14ac:dyDescent="0.2">
      <c r="A35" s="350"/>
      <c r="B35" s="351"/>
      <c r="C35" s="351"/>
      <c r="D35" s="352"/>
      <c r="E35" s="346"/>
    </row>
    <row r="36" spans="1:5" x14ac:dyDescent="0.2">
      <c r="A36" s="350" t="s">
        <v>237</v>
      </c>
      <c r="B36" s="351" t="s">
        <v>287</v>
      </c>
      <c r="C36" s="351"/>
      <c r="D36" s="352"/>
    </row>
    <row r="37" spans="1:5" x14ac:dyDescent="0.2">
      <c r="A37" s="350"/>
      <c r="B37" s="351"/>
      <c r="C37" s="351" t="s">
        <v>288</v>
      </c>
      <c r="D37" s="352">
        <v>24477102</v>
      </c>
    </row>
    <row r="38" spans="1:5" x14ac:dyDescent="0.2">
      <c r="A38" s="350"/>
      <c r="B38" s="351"/>
      <c r="C38" s="351" t="s">
        <v>289</v>
      </c>
      <c r="D38" s="352">
        <v>209550</v>
      </c>
    </row>
    <row r="39" spans="1:5" x14ac:dyDescent="0.2">
      <c r="A39" s="350"/>
      <c r="B39" s="351"/>
      <c r="C39" s="351" t="s">
        <v>290</v>
      </c>
      <c r="D39" s="352">
        <v>398145</v>
      </c>
    </row>
    <row r="40" spans="1:5" x14ac:dyDescent="0.2">
      <c r="A40" s="350"/>
      <c r="B40" s="351"/>
      <c r="C40" s="351" t="s">
        <v>291</v>
      </c>
      <c r="D40" s="352">
        <v>425450</v>
      </c>
      <c r="E40" s="346"/>
    </row>
    <row r="41" spans="1:5" x14ac:dyDescent="0.2">
      <c r="A41" s="350"/>
      <c r="B41" s="341" t="s">
        <v>292</v>
      </c>
      <c r="C41" s="341" t="s">
        <v>293</v>
      </c>
      <c r="D41" s="344">
        <v>102798</v>
      </c>
      <c r="E41" s="346">
        <f>SUM(D37:D41)</f>
        <v>25613045</v>
      </c>
    </row>
    <row r="42" spans="1:5" x14ac:dyDescent="0.2">
      <c r="A42" s="353"/>
      <c r="B42" s="351"/>
      <c r="C42" s="351"/>
      <c r="D42" s="352"/>
    </row>
    <row r="43" spans="1:5" x14ac:dyDescent="0.2">
      <c r="A43" s="353" t="s">
        <v>294</v>
      </c>
      <c r="B43" s="351"/>
      <c r="C43" s="351" t="s">
        <v>295</v>
      </c>
      <c r="D43" s="352">
        <v>1680000</v>
      </c>
    </row>
    <row r="44" spans="1:5" x14ac:dyDescent="0.2">
      <c r="A44" s="353"/>
      <c r="B44" s="351"/>
      <c r="C44" s="351" t="s">
        <v>296</v>
      </c>
      <c r="D44" s="352">
        <v>460000</v>
      </c>
    </row>
    <row r="45" spans="1:5" x14ac:dyDescent="0.2">
      <c r="A45" s="353"/>
      <c r="B45" s="351"/>
      <c r="C45" s="351" t="s">
        <v>297</v>
      </c>
      <c r="D45" s="352">
        <v>1231900</v>
      </c>
    </row>
    <row r="46" spans="1:5" x14ac:dyDescent="0.2">
      <c r="A46" s="353"/>
      <c r="B46" s="351" t="s">
        <v>298</v>
      </c>
      <c r="C46" s="351" t="s">
        <v>299</v>
      </c>
      <c r="D46" s="352">
        <v>85090</v>
      </c>
    </row>
    <row r="47" spans="1:5" x14ac:dyDescent="0.2">
      <c r="A47" s="354"/>
      <c r="B47" s="351" t="s">
        <v>260</v>
      </c>
      <c r="C47" s="351" t="s">
        <v>300</v>
      </c>
      <c r="D47" s="352">
        <v>288671</v>
      </c>
      <c r="E47" s="346">
        <f>SUM(D43:D47)</f>
        <v>3745661</v>
      </c>
    </row>
    <row r="48" spans="1:5" x14ac:dyDescent="0.2">
      <c r="A48" s="354"/>
      <c r="B48" s="351"/>
      <c r="C48" s="351"/>
      <c r="D48" s="352"/>
    </row>
    <row r="49" spans="1:5" x14ac:dyDescent="0.2">
      <c r="A49" s="354"/>
      <c r="B49" s="351"/>
      <c r="C49" s="355" t="s">
        <v>301</v>
      </c>
      <c r="D49" s="356">
        <f>SUM(D6:D48)</f>
        <v>55070280</v>
      </c>
    </row>
    <row r="50" spans="1:5" x14ac:dyDescent="0.2">
      <c r="A50" s="357"/>
      <c r="B50" s="357"/>
      <c r="C50" s="357"/>
      <c r="D50" s="358"/>
      <c r="E50" s="302"/>
    </row>
    <row r="51" spans="1:5" ht="13.5" thickBot="1" x14ac:dyDescent="0.25">
      <c r="A51" s="359"/>
      <c r="B51" s="359"/>
      <c r="C51" s="359"/>
      <c r="D51" s="360"/>
      <c r="E51" s="302"/>
    </row>
    <row r="52" spans="1:5" x14ac:dyDescent="0.2">
      <c r="A52" s="361"/>
      <c r="B52" s="362" t="s">
        <v>302</v>
      </c>
      <c r="C52" s="363"/>
      <c r="D52" s="364"/>
    </row>
    <row r="53" spans="1:5" x14ac:dyDescent="0.2">
      <c r="A53" s="340" t="s">
        <v>303</v>
      </c>
      <c r="B53" s="340"/>
      <c r="C53" s="341" t="s">
        <v>304</v>
      </c>
      <c r="D53" s="365">
        <v>80899</v>
      </c>
    </row>
    <row r="54" spans="1:5" x14ac:dyDescent="0.2">
      <c r="A54" s="340"/>
      <c r="B54" s="340"/>
      <c r="C54" s="341" t="s">
        <v>305</v>
      </c>
      <c r="D54" s="365">
        <v>128270</v>
      </c>
      <c r="E54" s="346">
        <f>SUM(D53:D54)</f>
        <v>209169</v>
      </c>
    </row>
    <row r="55" spans="1:5" x14ac:dyDescent="0.2">
      <c r="A55" s="340"/>
      <c r="B55" s="340"/>
      <c r="C55" s="341"/>
      <c r="D55" s="365"/>
    </row>
    <row r="56" spans="1:5" x14ac:dyDescent="0.2">
      <c r="A56" s="340" t="s">
        <v>306</v>
      </c>
      <c r="B56" s="341"/>
      <c r="C56" s="341" t="s">
        <v>307</v>
      </c>
      <c r="D56" s="365">
        <v>80000</v>
      </c>
    </row>
    <row r="57" spans="1:5" x14ac:dyDescent="0.2">
      <c r="A57" s="340"/>
      <c r="B57" s="341"/>
      <c r="C57" s="341" t="s">
        <v>308</v>
      </c>
      <c r="D57" s="365">
        <v>79900</v>
      </c>
      <c r="E57" s="346">
        <f>SUM(D56:D57)</f>
        <v>159900</v>
      </c>
    </row>
    <row r="58" spans="1:5" x14ac:dyDescent="0.2">
      <c r="A58" s="354"/>
      <c r="B58" s="351"/>
      <c r="C58" s="351"/>
      <c r="D58" s="352"/>
    </row>
    <row r="59" spans="1:5" x14ac:dyDescent="0.2">
      <c r="A59" s="353" t="s">
        <v>309</v>
      </c>
      <c r="B59" s="351"/>
      <c r="C59" s="351" t="s">
        <v>310</v>
      </c>
      <c r="D59" s="352">
        <v>431292</v>
      </c>
    </row>
    <row r="60" spans="1:5" x14ac:dyDescent="0.2">
      <c r="A60" s="353"/>
      <c r="B60" s="351"/>
      <c r="C60" s="351" t="s">
        <v>311</v>
      </c>
      <c r="D60" s="352">
        <v>10000</v>
      </c>
    </row>
    <row r="61" spans="1:5" x14ac:dyDescent="0.2">
      <c r="A61" s="353"/>
      <c r="B61" s="351"/>
      <c r="C61" s="351" t="s">
        <v>312</v>
      </c>
      <c r="D61" s="352">
        <v>81153</v>
      </c>
      <c r="E61" s="346">
        <f>SUM(D59:D61)</f>
        <v>522445</v>
      </c>
    </row>
    <row r="62" spans="1:5" x14ac:dyDescent="0.2">
      <c r="A62" s="353"/>
      <c r="B62" s="351"/>
      <c r="C62" s="351"/>
      <c r="D62" s="352"/>
    </row>
    <row r="63" spans="1:5" ht="13.5" thickBot="1" x14ac:dyDescent="0.25">
      <c r="A63" s="366"/>
      <c r="B63" s="367"/>
      <c r="C63" s="368" t="s">
        <v>313</v>
      </c>
      <c r="D63" s="369">
        <f>SUM(D53:D61)</f>
        <v>891514</v>
      </c>
    </row>
    <row r="65" spans="1:5" ht="13.5" thickBot="1" x14ac:dyDescent="0.25"/>
    <row r="66" spans="1:5" x14ac:dyDescent="0.2">
      <c r="A66" s="370"/>
      <c r="B66" s="337" t="s">
        <v>314</v>
      </c>
      <c r="C66" s="336"/>
      <c r="D66" s="371"/>
    </row>
    <row r="67" spans="1:5" x14ac:dyDescent="0.2">
      <c r="A67" s="372" t="s">
        <v>306</v>
      </c>
      <c r="B67" s="373"/>
      <c r="C67" s="373"/>
      <c r="D67" s="374"/>
    </row>
    <row r="68" spans="1:5" x14ac:dyDescent="0.2">
      <c r="A68" s="354"/>
      <c r="B68" s="351" t="s">
        <v>315</v>
      </c>
      <c r="C68" s="351" t="s">
        <v>316</v>
      </c>
      <c r="D68" s="352">
        <v>97028</v>
      </c>
    </row>
    <row r="69" spans="1:5" x14ac:dyDescent="0.2">
      <c r="A69" s="354"/>
      <c r="B69" s="351" t="s">
        <v>317</v>
      </c>
      <c r="C69" s="351" t="s">
        <v>318</v>
      </c>
      <c r="D69" s="352">
        <v>113030</v>
      </c>
    </row>
    <row r="70" spans="1:5" x14ac:dyDescent="0.2">
      <c r="A70" s="353"/>
      <c r="B70" s="351" t="s">
        <v>317</v>
      </c>
      <c r="C70" s="351" t="s">
        <v>319</v>
      </c>
      <c r="D70" s="352">
        <v>247100</v>
      </c>
      <c r="E70" s="346">
        <f>SUM(D68:D70)</f>
        <v>457158</v>
      </c>
    </row>
    <row r="71" spans="1:5" x14ac:dyDescent="0.2">
      <c r="A71" s="353"/>
      <c r="B71" s="351"/>
      <c r="C71" s="351"/>
      <c r="D71" s="352"/>
    </row>
    <row r="72" spans="1:5" ht="13.5" thickBot="1" x14ac:dyDescent="0.25">
      <c r="A72" s="366"/>
      <c r="B72" s="367"/>
      <c r="C72" s="368" t="s">
        <v>320</v>
      </c>
      <c r="D72" s="369">
        <f>SUM(D68:D70)</f>
        <v>457158</v>
      </c>
    </row>
    <row r="74" spans="1:5" ht="13.5" thickBot="1" x14ac:dyDescent="0.25"/>
    <row r="75" spans="1:5" x14ac:dyDescent="0.2">
      <c r="A75" s="370"/>
      <c r="B75" s="337" t="s">
        <v>321</v>
      </c>
      <c r="C75" s="336"/>
      <c r="D75" s="371"/>
    </row>
    <row r="76" spans="1:5" x14ac:dyDescent="0.2">
      <c r="A76" s="372" t="s">
        <v>306</v>
      </c>
      <c r="B76" s="373"/>
      <c r="C76" s="373"/>
      <c r="D76" s="374"/>
    </row>
    <row r="77" spans="1:5" x14ac:dyDescent="0.2">
      <c r="A77" s="354"/>
      <c r="B77" s="351" t="s">
        <v>287</v>
      </c>
      <c r="C77" s="351" t="s">
        <v>322</v>
      </c>
      <c r="D77" s="352">
        <v>1541723</v>
      </c>
      <c r="E77" s="346">
        <f>SUM(D77)</f>
        <v>1541723</v>
      </c>
    </row>
    <row r="78" spans="1:5" x14ac:dyDescent="0.2">
      <c r="A78" s="354"/>
      <c r="B78" s="351"/>
      <c r="C78" s="351"/>
      <c r="D78" s="352"/>
    </row>
    <row r="79" spans="1:5" x14ac:dyDescent="0.2">
      <c r="A79" s="353"/>
      <c r="B79" s="351"/>
      <c r="C79" s="351"/>
      <c r="D79" s="352"/>
    </row>
    <row r="80" spans="1:5" ht="13.5" thickBot="1" x14ac:dyDescent="0.25">
      <c r="A80" s="366"/>
      <c r="B80" s="367"/>
      <c r="C80" s="368" t="s">
        <v>323</v>
      </c>
      <c r="D80" s="369">
        <f>SUM(D77:D79)</f>
        <v>1541723</v>
      </c>
    </row>
    <row r="81" spans="2:5" ht="13.5" thickBot="1" x14ac:dyDescent="0.25"/>
    <row r="82" spans="2:5" ht="13.5" thickBot="1" x14ac:dyDescent="0.25">
      <c r="B82" s="375" t="s">
        <v>324</v>
      </c>
      <c r="D82" s="376">
        <v>57960675</v>
      </c>
      <c r="E82" s="346">
        <f>SUM(D82)</f>
        <v>57960675</v>
      </c>
    </row>
    <row r="83" spans="2:5" x14ac:dyDescent="0.2">
      <c r="C83" t="s">
        <v>325</v>
      </c>
      <c r="E83" s="377">
        <f>SUM(E4:E80)</f>
        <v>57960675</v>
      </c>
    </row>
    <row r="99" spans="1:4" x14ac:dyDescent="0.2">
      <c r="A99" s="302"/>
      <c r="B99" s="302"/>
      <c r="C99" s="302"/>
      <c r="D99" s="302"/>
    </row>
    <row r="100" spans="1:4" x14ac:dyDescent="0.2">
      <c r="A100" s="302"/>
      <c r="B100" s="302"/>
      <c r="C100" s="302"/>
      <c r="D100" s="302"/>
    </row>
    <row r="101" spans="1:4" x14ac:dyDescent="0.2">
      <c r="A101" s="302"/>
      <c r="B101" s="302"/>
      <c r="C101" s="302"/>
      <c r="D101" s="302"/>
    </row>
    <row r="102" spans="1:4" x14ac:dyDescent="0.2">
      <c r="A102" s="585"/>
      <c r="B102" s="586"/>
      <c r="C102" s="586"/>
      <c r="D102" s="586"/>
    </row>
    <row r="103" spans="1:4" x14ac:dyDescent="0.2">
      <c r="A103" s="302"/>
      <c r="B103" s="302"/>
      <c r="C103" s="378"/>
      <c r="D103" s="378"/>
    </row>
    <row r="104" spans="1:4" x14ac:dyDescent="0.2">
      <c r="A104" s="302"/>
      <c r="B104" s="378"/>
      <c r="C104" s="302"/>
      <c r="D104" s="302"/>
    </row>
    <row r="105" spans="1:4" x14ac:dyDescent="0.2">
      <c r="A105" s="379"/>
      <c r="B105" s="378"/>
      <c r="C105" s="302"/>
      <c r="D105" s="380"/>
    </row>
    <row r="106" spans="1:4" x14ac:dyDescent="0.2">
      <c r="A106" s="379"/>
      <c r="B106" s="378"/>
      <c r="C106" s="302"/>
      <c r="D106" s="380"/>
    </row>
    <row r="107" spans="1:4" x14ac:dyDescent="0.2">
      <c r="A107" s="379"/>
      <c r="B107" s="378"/>
      <c r="C107" s="302"/>
      <c r="D107" s="380"/>
    </row>
    <row r="108" spans="1:4" x14ac:dyDescent="0.2">
      <c r="A108" s="379"/>
      <c r="B108" s="378"/>
      <c r="C108" s="302"/>
      <c r="D108" s="380"/>
    </row>
    <row r="109" spans="1:4" x14ac:dyDescent="0.2">
      <c r="A109" s="379"/>
      <c r="B109" s="378"/>
      <c r="C109" s="302"/>
      <c r="D109" s="380"/>
    </row>
    <row r="110" spans="1:4" x14ac:dyDescent="0.2">
      <c r="A110" s="379"/>
      <c r="B110" s="378"/>
      <c r="C110" s="302"/>
      <c r="D110" s="380"/>
    </row>
    <row r="111" spans="1:4" x14ac:dyDescent="0.2">
      <c r="A111" s="379"/>
      <c r="B111" s="302"/>
      <c r="C111" s="302"/>
      <c r="D111" s="380"/>
    </row>
    <row r="112" spans="1:4" x14ac:dyDescent="0.2">
      <c r="A112" s="379"/>
      <c r="B112" s="302"/>
      <c r="C112" s="302"/>
      <c r="D112" s="380"/>
    </row>
    <row r="113" spans="1:4" x14ac:dyDescent="0.2">
      <c r="A113" s="379"/>
      <c r="B113" s="302"/>
      <c r="C113" s="302"/>
      <c r="D113" s="380"/>
    </row>
    <row r="114" spans="1:4" x14ac:dyDescent="0.2">
      <c r="A114" s="379"/>
      <c r="B114" s="302"/>
      <c r="C114" s="302"/>
      <c r="D114" s="380"/>
    </row>
    <row r="115" spans="1:4" x14ac:dyDescent="0.2">
      <c r="A115" s="378"/>
      <c r="B115" s="302"/>
      <c r="C115" s="302"/>
      <c r="D115" s="380"/>
    </row>
    <row r="116" spans="1:4" x14ac:dyDescent="0.2">
      <c r="A116" s="378"/>
      <c r="B116" s="302"/>
      <c r="C116" s="302"/>
      <c r="D116" s="380"/>
    </row>
    <row r="117" spans="1:4" x14ac:dyDescent="0.2">
      <c r="A117" s="378"/>
      <c r="B117" s="302"/>
      <c r="C117" s="302"/>
      <c r="D117" s="380"/>
    </row>
    <row r="118" spans="1:4" x14ac:dyDescent="0.2">
      <c r="A118" s="378"/>
      <c r="B118" s="302"/>
      <c r="C118" s="302"/>
      <c r="D118" s="380"/>
    </row>
    <row r="119" spans="1:4" x14ac:dyDescent="0.2">
      <c r="A119" s="378"/>
      <c r="B119" s="302"/>
      <c r="C119" s="302"/>
      <c r="D119" s="380"/>
    </row>
    <row r="120" spans="1:4" x14ac:dyDescent="0.2">
      <c r="A120" s="378"/>
      <c r="B120" s="302"/>
      <c r="C120" s="302"/>
      <c r="D120" s="380"/>
    </row>
    <row r="121" spans="1:4" x14ac:dyDescent="0.2">
      <c r="A121" s="378"/>
      <c r="B121" s="302"/>
      <c r="C121" s="302"/>
      <c r="D121" s="380"/>
    </row>
    <row r="122" spans="1:4" x14ac:dyDescent="0.2">
      <c r="A122" s="378"/>
      <c r="B122" s="302"/>
      <c r="C122" s="302"/>
      <c r="D122" s="380"/>
    </row>
    <row r="123" spans="1:4" x14ac:dyDescent="0.2">
      <c r="A123" s="379"/>
      <c r="B123" s="302"/>
      <c r="C123" s="302"/>
      <c r="D123" s="380"/>
    </row>
    <row r="124" spans="1:4" x14ac:dyDescent="0.2">
      <c r="A124" s="379"/>
      <c r="B124" s="302"/>
      <c r="C124" s="302"/>
      <c r="D124" s="380"/>
    </row>
    <row r="125" spans="1:4" x14ac:dyDescent="0.2">
      <c r="A125" s="379"/>
      <c r="B125" s="302"/>
      <c r="C125" s="302"/>
      <c r="D125" s="380"/>
    </row>
    <row r="126" spans="1:4" x14ac:dyDescent="0.2">
      <c r="A126" s="379"/>
      <c r="B126" s="302"/>
      <c r="C126" s="302"/>
      <c r="D126" s="380"/>
    </row>
    <row r="127" spans="1:4" x14ac:dyDescent="0.2">
      <c r="A127" s="302"/>
      <c r="B127" s="302"/>
      <c r="C127" s="302"/>
      <c r="D127" s="380"/>
    </row>
    <row r="128" spans="1:4" x14ac:dyDescent="0.2">
      <c r="A128" s="379"/>
      <c r="B128" s="302"/>
      <c r="C128" s="302"/>
      <c r="D128" s="380"/>
    </row>
    <row r="129" spans="1:4" x14ac:dyDescent="0.2">
      <c r="A129" s="302"/>
      <c r="B129" s="302"/>
      <c r="C129" s="302"/>
      <c r="D129" s="380"/>
    </row>
    <row r="130" spans="1:4" x14ac:dyDescent="0.2">
      <c r="A130" s="302"/>
      <c r="B130" s="302"/>
      <c r="C130" s="302"/>
      <c r="D130" s="380"/>
    </row>
    <row r="131" spans="1:4" x14ac:dyDescent="0.2">
      <c r="A131" s="302"/>
      <c r="B131" s="302"/>
      <c r="C131" s="378"/>
      <c r="D131" s="381"/>
    </row>
    <row r="132" spans="1:4" x14ac:dyDescent="0.2">
      <c r="A132" s="302"/>
      <c r="B132" s="302"/>
      <c r="C132" s="302"/>
      <c r="D132" s="380"/>
    </row>
    <row r="133" spans="1:4" x14ac:dyDescent="0.2">
      <c r="A133" s="302"/>
      <c r="B133" s="302"/>
      <c r="C133" s="302"/>
      <c r="D133" s="380"/>
    </row>
    <row r="134" spans="1:4" x14ac:dyDescent="0.2">
      <c r="A134" s="302"/>
      <c r="B134" s="302"/>
      <c r="C134" s="302"/>
      <c r="D134" s="302"/>
    </row>
    <row r="135" spans="1:4" x14ac:dyDescent="0.2">
      <c r="A135" s="302"/>
      <c r="B135" s="302"/>
      <c r="C135" s="302"/>
      <c r="D135" s="302"/>
    </row>
    <row r="136" spans="1:4" x14ac:dyDescent="0.2">
      <c r="A136" s="378"/>
      <c r="B136" s="378"/>
      <c r="C136" s="302"/>
      <c r="D136" s="380"/>
    </row>
    <row r="137" spans="1:4" x14ac:dyDescent="0.2">
      <c r="A137" s="378"/>
      <c r="B137" s="302"/>
      <c r="C137" s="302"/>
      <c r="D137" s="380"/>
    </row>
    <row r="138" spans="1:4" x14ac:dyDescent="0.2">
      <c r="A138" s="302"/>
      <c r="B138" s="302"/>
      <c r="C138" s="302"/>
      <c r="D138" s="380"/>
    </row>
    <row r="139" spans="1:4" x14ac:dyDescent="0.2">
      <c r="A139" s="302"/>
      <c r="B139" s="302"/>
      <c r="C139" s="302"/>
      <c r="D139" s="380"/>
    </row>
    <row r="140" spans="1:4" x14ac:dyDescent="0.2">
      <c r="A140" s="302"/>
      <c r="B140" s="302"/>
      <c r="C140" s="302"/>
      <c r="D140" s="380"/>
    </row>
    <row r="141" spans="1:4" x14ac:dyDescent="0.2">
      <c r="A141" s="302"/>
      <c r="B141" s="302"/>
      <c r="C141" s="302"/>
      <c r="D141" s="380"/>
    </row>
    <row r="142" spans="1:4" x14ac:dyDescent="0.2">
      <c r="A142" s="379"/>
      <c r="B142" s="302"/>
      <c r="C142" s="302"/>
      <c r="D142" s="380"/>
    </row>
    <row r="143" spans="1:4" x14ac:dyDescent="0.2">
      <c r="A143" s="379"/>
      <c r="B143" s="302"/>
      <c r="C143" s="302"/>
      <c r="D143" s="380"/>
    </row>
    <row r="144" spans="1:4" x14ac:dyDescent="0.2">
      <c r="A144" s="302"/>
      <c r="B144" s="302"/>
      <c r="C144" s="379"/>
      <c r="D144" s="382"/>
    </row>
    <row r="145" spans="1:4" x14ac:dyDescent="0.2">
      <c r="A145" s="302"/>
      <c r="B145" s="302"/>
      <c r="C145" s="302"/>
      <c r="D145" s="302"/>
    </row>
    <row r="146" spans="1:4" x14ac:dyDescent="0.2">
      <c r="A146" s="302"/>
      <c r="B146" s="302"/>
      <c r="C146" s="302"/>
      <c r="D146" s="302"/>
    </row>
    <row r="147" spans="1:4" x14ac:dyDescent="0.2">
      <c r="A147" s="378"/>
      <c r="B147" s="378"/>
      <c r="C147" s="302"/>
      <c r="D147" s="380"/>
    </row>
    <row r="148" spans="1:4" x14ac:dyDescent="0.2">
      <c r="A148" s="378"/>
      <c r="B148" s="302"/>
      <c r="C148" s="302"/>
      <c r="D148" s="380"/>
    </row>
    <row r="149" spans="1:4" x14ac:dyDescent="0.2">
      <c r="A149" s="302"/>
      <c r="B149" s="302"/>
      <c r="C149" s="302"/>
      <c r="D149" s="380"/>
    </row>
    <row r="150" spans="1:4" x14ac:dyDescent="0.2">
      <c r="A150" s="379"/>
      <c r="B150" s="302"/>
      <c r="C150" s="302"/>
      <c r="D150" s="380"/>
    </row>
    <row r="151" spans="1:4" x14ac:dyDescent="0.2">
      <c r="A151" s="379"/>
      <c r="B151" s="302"/>
      <c r="C151" s="302"/>
      <c r="D151" s="380"/>
    </row>
    <row r="152" spans="1:4" x14ac:dyDescent="0.2">
      <c r="A152" s="302"/>
      <c r="B152" s="302"/>
      <c r="C152" s="379"/>
      <c r="D152" s="382"/>
    </row>
    <row r="153" spans="1:4" x14ac:dyDescent="0.2">
      <c r="A153" s="302"/>
      <c r="B153" s="302"/>
      <c r="C153" s="302"/>
      <c r="D153" s="302"/>
    </row>
    <row r="154" spans="1:4" x14ac:dyDescent="0.2">
      <c r="A154" s="302"/>
      <c r="B154" s="378"/>
      <c r="C154" s="302"/>
      <c r="D154" s="382"/>
    </row>
    <row r="155" spans="1:4" x14ac:dyDescent="0.2">
      <c r="A155" s="302"/>
      <c r="B155" s="302"/>
      <c r="C155" s="302"/>
      <c r="D155" s="302"/>
    </row>
    <row r="156" spans="1:4" x14ac:dyDescent="0.2">
      <c r="A156" s="302"/>
      <c r="B156" s="302"/>
      <c r="C156" s="302"/>
      <c r="D156" s="302"/>
    </row>
    <row r="157" spans="1:4" x14ac:dyDescent="0.2">
      <c r="A157" s="302"/>
      <c r="B157" s="302"/>
      <c r="C157" s="302"/>
      <c r="D157" s="302"/>
    </row>
    <row r="158" spans="1:4" x14ac:dyDescent="0.2">
      <c r="A158" s="302"/>
      <c r="B158" s="302"/>
      <c r="C158" s="302"/>
      <c r="D158" s="302"/>
    </row>
    <row r="159" spans="1:4" x14ac:dyDescent="0.2">
      <c r="A159" s="302"/>
      <c r="B159" s="302"/>
      <c r="C159" s="302"/>
      <c r="D159" s="302"/>
    </row>
    <row r="160" spans="1:4" x14ac:dyDescent="0.2">
      <c r="A160" s="302"/>
      <c r="B160" s="302"/>
      <c r="C160" s="302"/>
      <c r="D160" s="302"/>
    </row>
    <row r="161" spans="1:4" x14ac:dyDescent="0.2">
      <c r="A161" s="302"/>
      <c r="B161" s="302"/>
      <c r="C161" s="302"/>
      <c r="D161" s="380"/>
    </row>
    <row r="162" spans="1:4" x14ac:dyDescent="0.2">
      <c r="A162" s="302"/>
      <c r="B162" s="302"/>
      <c r="C162" s="302"/>
      <c r="D162" s="380"/>
    </row>
    <row r="163" spans="1:4" x14ac:dyDescent="0.2">
      <c r="A163" s="302"/>
      <c r="B163" s="302"/>
      <c r="C163" s="302"/>
      <c r="D163" s="380"/>
    </row>
    <row r="164" spans="1:4" x14ac:dyDescent="0.2">
      <c r="A164" s="302"/>
      <c r="B164" s="302"/>
      <c r="C164" s="302"/>
      <c r="D164" s="380"/>
    </row>
    <row r="165" spans="1:4" x14ac:dyDescent="0.2">
      <c r="A165" s="302"/>
      <c r="B165" s="302"/>
      <c r="C165" s="302"/>
      <c r="D165" s="380"/>
    </row>
    <row r="166" spans="1:4" x14ac:dyDescent="0.2">
      <c r="A166" s="302"/>
      <c r="B166" s="302"/>
      <c r="C166" s="302"/>
      <c r="D166" s="380"/>
    </row>
    <row r="167" spans="1:4" x14ac:dyDescent="0.2">
      <c r="A167" s="302"/>
      <c r="B167" s="302"/>
      <c r="C167" s="302"/>
      <c r="D167" s="382"/>
    </row>
    <row r="168" spans="1:4" x14ac:dyDescent="0.2">
      <c r="A168" s="302"/>
      <c r="B168" s="302"/>
      <c r="C168" s="302"/>
      <c r="D168" s="302"/>
    </row>
  </sheetData>
  <mergeCells count="2">
    <mergeCell ref="A3:D3"/>
    <mergeCell ref="A102:D102"/>
  </mergeCells>
  <pageMargins left="0.19685039370078741" right="0.19685039370078741" top="0.59055118110236227" bottom="0.39370078740157483" header="0.51181102362204722" footer="0.51181102362204722"/>
  <pageSetup paperSize="9" scale="74" orientation="portrait" r:id="rId1"/>
  <headerFooter alignWithMargins="0"/>
  <rowBreaks count="1" manualBreakCount="1">
    <brk id="82" max="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2"/>
  <sheetViews>
    <sheetView zoomScaleNormal="100" workbookViewId="0">
      <selection activeCell="H3" sqref="H3"/>
    </sheetView>
  </sheetViews>
  <sheetFormatPr defaultColWidth="10.28515625" defaultRowHeight="15.75" x14ac:dyDescent="0.25"/>
  <cols>
    <col min="1" max="1" width="4" style="414" customWidth="1"/>
    <col min="2" max="2" width="4.140625" style="414" customWidth="1"/>
    <col min="3" max="3" width="48" style="414" customWidth="1"/>
    <col min="4" max="4" width="11.5703125" style="415" customWidth="1"/>
    <col min="5" max="5" width="11.28515625" style="415" customWidth="1"/>
    <col min="6" max="6" width="10" style="393" hidden="1" customWidth="1"/>
    <col min="7" max="7" width="13.28515625" style="393" hidden="1" customWidth="1"/>
    <col min="8" max="16384" width="10.28515625" style="393"/>
  </cols>
  <sheetData>
    <row r="2" spans="1:7" ht="16.5" thickBot="1" x14ac:dyDescent="0.3">
      <c r="E2" s="415" t="s">
        <v>423</v>
      </c>
    </row>
    <row r="3" spans="1:7" s="383" customFormat="1" x14ac:dyDescent="0.2">
      <c r="A3" s="587" t="s">
        <v>327</v>
      </c>
      <c r="B3" s="588"/>
      <c r="C3" s="588"/>
      <c r="D3" s="588"/>
      <c r="E3" s="589"/>
      <c r="F3" s="590"/>
      <c r="G3" s="591"/>
    </row>
    <row r="4" spans="1:7" s="383" customFormat="1" x14ac:dyDescent="0.2">
      <c r="A4" s="592" t="s">
        <v>328</v>
      </c>
      <c r="B4" s="593"/>
      <c r="C4" s="593"/>
      <c r="D4" s="593"/>
      <c r="E4" s="594"/>
    </row>
    <row r="5" spans="1:7" s="383" customFormat="1" ht="13.5" customHeight="1" x14ac:dyDescent="0.2">
      <c r="A5" s="595"/>
      <c r="B5" s="596"/>
      <c r="C5" s="597"/>
      <c r="D5" s="598">
        <v>2013</v>
      </c>
      <c r="E5" s="599"/>
    </row>
    <row r="6" spans="1:7" s="383" customFormat="1" ht="31.5" customHeight="1" thickBot="1" x14ac:dyDescent="0.25">
      <c r="A6" s="384"/>
      <c r="B6" s="385"/>
      <c r="C6" s="386" t="s">
        <v>329</v>
      </c>
      <c r="D6" s="387" t="s">
        <v>330</v>
      </c>
      <c r="E6" s="388" t="s">
        <v>331</v>
      </c>
    </row>
    <row r="7" spans="1:7" ht="13.5" customHeight="1" x14ac:dyDescent="0.25">
      <c r="A7" s="389">
        <v>1</v>
      </c>
      <c r="B7" s="390" t="s">
        <v>332</v>
      </c>
      <c r="C7" s="390" t="s">
        <v>333</v>
      </c>
      <c r="D7" s="391">
        <f>SUM(D8,D16,D24)</f>
        <v>391948</v>
      </c>
      <c r="E7" s="392">
        <f>SUM(E8,E16,E24)</f>
        <v>349095</v>
      </c>
    </row>
    <row r="8" spans="1:7" ht="13.5" customHeight="1" x14ac:dyDescent="0.25">
      <c r="A8" s="394">
        <v>2</v>
      </c>
      <c r="B8" s="395" t="s">
        <v>334</v>
      </c>
      <c r="C8" s="395" t="s">
        <v>335</v>
      </c>
      <c r="D8" s="396">
        <f>SUM(D9:D15)</f>
        <v>20275</v>
      </c>
      <c r="E8" s="397">
        <f>SUM(E9:E15)</f>
        <v>14498</v>
      </c>
    </row>
    <row r="9" spans="1:7" ht="13.5" customHeight="1" x14ac:dyDescent="0.25">
      <c r="A9" s="398">
        <f t="shared" ref="A9:A62" si="0">+A8+1</f>
        <v>3</v>
      </c>
      <c r="B9" s="399" t="s">
        <v>336</v>
      </c>
      <c r="C9" s="399" t="s">
        <v>337</v>
      </c>
      <c r="D9" s="400"/>
      <c r="E9" s="401"/>
    </row>
    <row r="10" spans="1:7" ht="13.5" customHeight="1" x14ac:dyDescent="0.25">
      <c r="A10" s="398">
        <f t="shared" si="0"/>
        <v>4</v>
      </c>
      <c r="B10" s="399" t="s">
        <v>338</v>
      </c>
      <c r="C10" s="399" t="s">
        <v>339</v>
      </c>
      <c r="D10" s="400"/>
      <c r="E10" s="401"/>
      <c r="G10" s="402"/>
    </row>
    <row r="11" spans="1:7" ht="13.5" customHeight="1" x14ac:dyDescent="0.25">
      <c r="A11" s="398">
        <f t="shared" si="0"/>
        <v>5</v>
      </c>
      <c r="B11" s="399" t="s">
        <v>340</v>
      </c>
      <c r="C11" s="399" t="s">
        <v>341</v>
      </c>
      <c r="D11" s="400">
        <v>20275</v>
      </c>
      <c r="E11" s="401">
        <v>14498</v>
      </c>
      <c r="G11" s="402"/>
    </row>
    <row r="12" spans="1:7" ht="13.5" customHeight="1" x14ac:dyDescent="0.25">
      <c r="A12" s="398">
        <f t="shared" si="0"/>
        <v>6</v>
      </c>
      <c r="B12" s="399" t="s">
        <v>342</v>
      </c>
      <c r="C12" s="399" t="s">
        <v>343</v>
      </c>
      <c r="D12" s="400"/>
      <c r="E12" s="401"/>
      <c r="G12" s="402"/>
    </row>
    <row r="13" spans="1:7" ht="13.5" customHeight="1" x14ac:dyDescent="0.25">
      <c r="A13" s="398">
        <f t="shared" si="0"/>
        <v>7</v>
      </c>
      <c r="B13" s="399" t="s">
        <v>344</v>
      </c>
      <c r="C13" s="399" t="s">
        <v>345</v>
      </c>
      <c r="D13" s="400"/>
      <c r="E13" s="401"/>
      <c r="G13" s="402"/>
    </row>
    <row r="14" spans="1:7" ht="13.5" customHeight="1" x14ac:dyDescent="0.25">
      <c r="A14" s="398">
        <f t="shared" si="0"/>
        <v>8</v>
      </c>
      <c r="B14" s="399" t="s">
        <v>346</v>
      </c>
      <c r="C14" s="399" t="s">
        <v>347</v>
      </c>
      <c r="D14" s="400"/>
      <c r="E14" s="401"/>
      <c r="G14" s="402"/>
    </row>
    <row r="15" spans="1:7" ht="13.5" customHeight="1" x14ac:dyDescent="0.25">
      <c r="A15" s="398">
        <f t="shared" si="0"/>
        <v>9</v>
      </c>
      <c r="B15" s="399" t="s">
        <v>348</v>
      </c>
      <c r="C15" s="399" t="s">
        <v>349</v>
      </c>
      <c r="D15" s="400"/>
      <c r="E15" s="401"/>
      <c r="G15" s="402"/>
    </row>
    <row r="16" spans="1:7" ht="13.5" customHeight="1" x14ac:dyDescent="0.25">
      <c r="A16" s="394">
        <f t="shared" si="0"/>
        <v>10</v>
      </c>
      <c r="B16" s="395" t="s">
        <v>350</v>
      </c>
      <c r="C16" s="395" t="s">
        <v>351</v>
      </c>
      <c r="D16" s="396">
        <f>SUM(D17:D23)</f>
        <v>371673</v>
      </c>
      <c r="E16" s="397">
        <f>SUM(E17:E23)</f>
        <v>334597</v>
      </c>
      <c r="G16" s="402"/>
    </row>
    <row r="17" spans="1:5" ht="13.5" customHeight="1" x14ac:dyDescent="0.25">
      <c r="A17" s="398">
        <f t="shared" si="0"/>
        <v>11</v>
      </c>
      <c r="B17" s="399" t="s">
        <v>352</v>
      </c>
      <c r="C17" s="399" t="s">
        <v>353</v>
      </c>
      <c r="D17" s="400">
        <v>47414</v>
      </c>
      <c r="E17" s="401">
        <v>46404</v>
      </c>
    </row>
    <row r="18" spans="1:5" ht="13.5" customHeight="1" x14ac:dyDescent="0.25">
      <c r="A18" s="398">
        <f t="shared" si="0"/>
        <v>12</v>
      </c>
      <c r="B18" s="399" t="s">
        <v>354</v>
      </c>
      <c r="C18" s="399" t="s">
        <v>355</v>
      </c>
      <c r="D18" s="400"/>
      <c r="E18" s="401"/>
    </row>
    <row r="19" spans="1:5" ht="13.5" customHeight="1" x14ac:dyDescent="0.25">
      <c r="A19" s="398">
        <f t="shared" si="0"/>
        <v>13</v>
      </c>
      <c r="B19" s="399" t="s">
        <v>356</v>
      </c>
      <c r="C19" s="399" t="s">
        <v>357</v>
      </c>
      <c r="D19" s="400">
        <v>321067</v>
      </c>
      <c r="E19" s="401">
        <v>280111</v>
      </c>
    </row>
    <row r="20" spans="1:5" ht="13.5" customHeight="1" x14ac:dyDescent="0.25">
      <c r="A20" s="398">
        <f t="shared" si="0"/>
        <v>14</v>
      </c>
      <c r="B20" s="399" t="s">
        <v>358</v>
      </c>
      <c r="C20" s="399" t="s">
        <v>359</v>
      </c>
      <c r="D20" s="400"/>
      <c r="E20" s="401"/>
    </row>
    <row r="21" spans="1:5" ht="13.5" customHeight="1" x14ac:dyDescent="0.25">
      <c r="A21" s="398">
        <f t="shared" si="0"/>
        <v>15</v>
      </c>
      <c r="B21" s="399" t="s">
        <v>360</v>
      </c>
      <c r="C21" s="399" t="s">
        <v>361</v>
      </c>
      <c r="D21" s="400">
        <v>3192</v>
      </c>
      <c r="E21" s="401">
        <v>8082</v>
      </c>
    </row>
    <row r="22" spans="1:5" ht="13.5" customHeight="1" x14ac:dyDescent="0.25">
      <c r="A22" s="398">
        <f t="shared" si="0"/>
        <v>16</v>
      </c>
      <c r="B22" s="399" t="s">
        <v>362</v>
      </c>
      <c r="C22" s="399" t="s">
        <v>363</v>
      </c>
      <c r="D22" s="400"/>
      <c r="E22" s="401"/>
    </row>
    <row r="23" spans="1:5" ht="13.5" customHeight="1" x14ac:dyDescent="0.25">
      <c r="A23" s="398">
        <f t="shared" si="0"/>
        <v>17</v>
      </c>
      <c r="B23" s="399" t="s">
        <v>364</v>
      </c>
      <c r="C23" s="399" t="s">
        <v>365</v>
      </c>
      <c r="D23" s="400"/>
      <c r="E23" s="401"/>
    </row>
    <row r="24" spans="1:5" ht="13.5" customHeight="1" x14ac:dyDescent="0.25">
      <c r="A24" s="394">
        <f t="shared" si="0"/>
        <v>18</v>
      </c>
      <c r="B24" s="395" t="s">
        <v>366</v>
      </c>
      <c r="C24" s="395" t="s">
        <v>367</v>
      </c>
      <c r="D24" s="396">
        <f>SUM(D25:D32)</f>
        <v>0</v>
      </c>
      <c r="E24" s="397">
        <f>SUM(E25:E32)</f>
        <v>0</v>
      </c>
    </row>
    <row r="25" spans="1:5" ht="13.5" customHeight="1" x14ac:dyDescent="0.25">
      <c r="A25" s="398">
        <f t="shared" si="0"/>
        <v>19</v>
      </c>
      <c r="B25" s="399" t="s">
        <v>368</v>
      </c>
      <c r="C25" s="399" t="s">
        <v>369</v>
      </c>
      <c r="D25" s="400"/>
      <c r="E25" s="401"/>
    </row>
    <row r="26" spans="1:5" ht="13.5" customHeight="1" x14ac:dyDescent="0.25">
      <c r="A26" s="398">
        <f t="shared" si="0"/>
        <v>20</v>
      </c>
      <c r="B26" s="399" t="s">
        <v>370</v>
      </c>
      <c r="C26" s="399" t="s">
        <v>371</v>
      </c>
      <c r="D26" s="400"/>
      <c r="E26" s="401"/>
    </row>
    <row r="27" spans="1:5" ht="13.5" customHeight="1" x14ac:dyDescent="0.25">
      <c r="A27" s="398">
        <f t="shared" si="0"/>
        <v>21</v>
      </c>
      <c r="B27" s="399" t="s">
        <v>372</v>
      </c>
      <c r="C27" s="399" t="s">
        <v>373</v>
      </c>
      <c r="D27" s="400"/>
      <c r="E27" s="401"/>
    </row>
    <row r="28" spans="1:5" ht="13.5" customHeight="1" x14ac:dyDescent="0.25">
      <c r="A28" s="403">
        <f t="shared" si="0"/>
        <v>22</v>
      </c>
      <c r="B28" s="404" t="s">
        <v>374</v>
      </c>
      <c r="C28" s="404" t="s">
        <v>375</v>
      </c>
      <c r="D28" s="405"/>
      <c r="E28" s="406"/>
    </row>
    <row r="29" spans="1:5" ht="13.5" customHeight="1" x14ac:dyDescent="0.25">
      <c r="A29" s="398">
        <f t="shared" si="0"/>
        <v>23</v>
      </c>
      <c r="B29" s="399" t="s">
        <v>376</v>
      </c>
      <c r="C29" s="399" t="s">
        <v>377</v>
      </c>
      <c r="D29" s="400"/>
      <c r="E29" s="401"/>
    </row>
    <row r="30" spans="1:5" ht="13.5" customHeight="1" x14ac:dyDescent="0.25">
      <c r="A30" s="398">
        <f t="shared" si="0"/>
        <v>24</v>
      </c>
      <c r="B30" s="399" t="s">
        <v>378</v>
      </c>
      <c r="C30" s="399" t="s">
        <v>379</v>
      </c>
      <c r="D30" s="400"/>
      <c r="E30" s="401"/>
    </row>
    <row r="31" spans="1:5" ht="13.5" customHeight="1" x14ac:dyDescent="0.25">
      <c r="A31" s="398">
        <f t="shared" si="0"/>
        <v>25</v>
      </c>
      <c r="B31" s="399" t="s">
        <v>380</v>
      </c>
      <c r="C31" s="399" t="s">
        <v>381</v>
      </c>
      <c r="D31" s="400"/>
      <c r="E31" s="401"/>
    </row>
    <row r="32" spans="1:5" ht="13.5" customHeight="1" x14ac:dyDescent="0.25">
      <c r="A32" s="398">
        <f t="shared" si="0"/>
        <v>26</v>
      </c>
      <c r="B32" s="399" t="s">
        <v>382</v>
      </c>
      <c r="C32" s="399" t="s">
        <v>383</v>
      </c>
      <c r="D32" s="400"/>
      <c r="E32" s="401"/>
    </row>
    <row r="33" spans="1:7" ht="13.5" customHeight="1" x14ac:dyDescent="0.25">
      <c r="A33" s="389">
        <f t="shared" si="0"/>
        <v>27</v>
      </c>
      <c r="B33" s="390" t="s">
        <v>384</v>
      </c>
      <c r="C33" s="390" t="s">
        <v>385</v>
      </c>
      <c r="D33" s="396">
        <f>SUM(D34,D41,D55)</f>
        <v>37727</v>
      </c>
      <c r="E33" s="397">
        <f>SUM(E34,E41,E55)</f>
        <v>37557</v>
      </c>
    </row>
    <row r="34" spans="1:7" ht="13.5" customHeight="1" x14ac:dyDescent="0.25">
      <c r="A34" s="394">
        <f t="shared" si="0"/>
        <v>28</v>
      </c>
      <c r="B34" s="395" t="s">
        <v>386</v>
      </c>
      <c r="C34" s="395" t="s">
        <v>387</v>
      </c>
      <c r="D34" s="396">
        <f>SUM(D35)</f>
        <v>16679</v>
      </c>
      <c r="E34" s="397">
        <f>SUM(E35)</f>
        <v>14847</v>
      </c>
    </row>
    <row r="35" spans="1:7" ht="13.5" customHeight="1" x14ac:dyDescent="0.25">
      <c r="A35" s="398">
        <f t="shared" si="0"/>
        <v>29</v>
      </c>
      <c r="B35" s="399" t="s">
        <v>336</v>
      </c>
      <c r="C35" s="399" t="s">
        <v>388</v>
      </c>
      <c r="D35" s="400">
        <v>16679</v>
      </c>
      <c r="E35" s="401">
        <v>14847</v>
      </c>
    </row>
    <row r="36" spans="1:7" ht="13.5" customHeight="1" x14ac:dyDescent="0.25">
      <c r="A36" s="398">
        <f t="shared" si="0"/>
        <v>30</v>
      </c>
      <c r="B36" s="399" t="s">
        <v>338</v>
      </c>
      <c r="C36" s="399" t="s">
        <v>389</v>
      </c>
      <c r="D36" s="400"/>
      <c r="E36" s="401"/>
    </row>
    <row r="37" spans="1:7" ht="13.5" customHeight="1" x14ac:dyDescent="0.25">
      <c r="A37" s="398">
        <f t="shared" si="0"/>
        <v>31</v>
      </c>
      <c r="B37" s="399" t="s">
        <v>340</v>
      </c>
      <c r="C37" s="399" t="s">
        <v>390</v>
      </c>
      <c r="D37" s="400"/>
      <c r="E37" s="401"/>
    </row>
    <row r="38" spans="1:7" ht="13.5" customHeight="1" x14ac:dyDescent="0.25">
      <c r="A38" s="398">
        <f t="shared" si="0"/>
        <v>32</v>
      </c>
      <c r="B38" s="399" t="s">
        <v>342</v>
      </c>
      <c r="C38" s="399" t="s">
        <v>391</v>
      </c>
      <c r="D38" s="400"/>
      <c r="E38" s="401"/>
    </row>
    <row r="39" spans="1:7" ht="13.5" customHeight="1" x14ac:dyDescent="0.25">
      <c r="A39" s="398">
        <f t="shared" si="0"/>
        <v>33</v>
      </c>
      <c r="B39" s="399" t="s">
        <v>344</v>
      </c>
      <c r="C39" s="399" t="s">
        <v>392</v>
      </c>
      <c r="D39" s="400"/>
      <c r="E39" s="401"/>
    </row>
    <row r="40" spans="1:7" ht="13.5" customHeight="1" x14ac:dyDescent="0.25">
      <c r="A40" s="398">
        <f t="shared" si="0"/>
        <v>34</v>
      </c>
      <c r="B40" s="399" t="s">
        <v>346</v>
      </c>
      <c r="C40" s="399" t="s">
        <v>393</v>
      </c>
      <c r="D40" s="400"/>
      <c r="E40" s="401"/>
    </row>
    <row r="41" spans="1:7" ht="13.5" customHeight="1" x14ac:dyDescent="0.25">
      <c r="A41" s="394">
        <f t="shared" si="0"/>
        <v>35</v>
      </c>
      <c r="B41" s="395" t="s">
        <v>350</v>
      </c>
      <c r="C41" s="395" t="s">
        <v>394</v>
      </c>
      <c r="D41" s="396">
        <f>SUM(D42:D48)</f>
        <v>6988</v>
      </c>
      <c r="E41" s="397">
        <f>SUM(E42:E48)</f>
        <v>5376</v>
      </c>
    </row>
    <row r="42" spans="1:7" ht="13.5" customHeight="1" x14ac:dyDescent="0.25">
      <c r="A42" s="398">
        <f t="shared" si="0"/>
        <v>36</v>
      </c>
      <c r="B42" s="399" t="s">
        <v>352</v>
      </c>
      <c r="C42" s="399" t="s">
        <v>395</v>
      </c>
      <c r="D42" s="400">
        <v>5489</v>
      </c>
      <c r="E42" s="401">
        <v>3426</v>
      </c>
    </row>
    <row r="43" spans="1:7" ht="13.5" customHeight="1" x14ac:dyDescent="0.25">
      <c r="A43" s="398">
        <f t="shared" si="0"/>
        <v>37</v>
      </c>
      <c r="B43" s="399" t="s">
        <v>354</v>
      </c>
      <c r="C43" s="399" t="s">
        <v>396</v>
      </c>
      <c r="D43" s="400"/>
      <c r="E43" s="401"/>
    </row>
    <row r="44" spans="1:7" ht="13.5" customHeight="1" x14ac:dyDescent="0.25">
      <c r="A44" s="398">
        <f t="shared" si="0"/>
        <v>38</v>
      </c>
      <c r="B44" s="399" t="s">
        <v>356</v>
      </c>
      <c r="C44" s="407" t="s">
        <v>397</v>
      </c>
      <c r="D44" s="400"/>
      <c r="E44" s="401"/>
    </row>
    <row r="45" spans="1:7" ht="13.5" customHeight="1" x14ac:dyDescent="0.25">
      <c r="A45" s="398">
        <f t="shared" si="0"/>
        <v>39</v>
      </c>
      <c r="B45" s="399" t="s">
        <v>358</v>
      </c>
      <c r="C45" s="399" t="s">
        <v>398</v>
      </c>
      <c r="D45" s="400"/>
      <c r="E45" s="401"/>
    </row>
    <row r="46" spans="1:7" ht="13.5" customHeight="1" x14ac:dyDescent="0.25">
      <c r="A46" s="398">
        <f t="shared" si="0"/>
        <v>40</v>
      </c>
      <c r="B46" s="399" t="s">
        <v>360</v>
      </c>
      <c r="C46" s="399" t="s">
        <v>399</v>
      </c>
      <c r="D46" s="400">
        <v>1499</v>
      </c>
      <c r="E46" s="401">
        <v>1950</v>
      </c>
    </row>
    <row r="47" spans="1:7" ht="13.5" customHeight="1" x14ac:dyDescent="0.25">
      <c r="A47" s="398">
        <f t="shared" si="0"/>
        <v>41</v>
      </c>
      <c r="B47" s="399" t="s">
        <v>362</v>
      </c>
      <c r="C47" s="399" t="s">
        <v>400</v>
      </c>
      <c r="D47" s="400"/>
      <c r="E47" s="401"/>
    </row>
    <row r="48" spans="1:7" ht="13.5" customHeight="1" x14ac:dyDescent="0.25">
      <c r="A48" s="398">
        <f t="shared" si="0"/>
        <v>42</v>
      </c>
      <c r="B48" s="399" t="s">
        <v>364</v>
      </c>
      <c r="C48" s="399" t="s">
        <v>401</v>
      </c>
      <c r="D48" s="400"/>
      <c r="E48" s="401"/>
      <c r="G48" s="402"/>
    </row>
    <row r="49" spans="1:5" ht="13.5" customHeight="1" x14ac:dyDescent="0.25">
      <c r="A49" s="394">
        <f t="shared" si="0"/>
        <v>43</v>
      </c>
      <c r="B49" s="395" t="s">
        <v>366</v>
      </c>
      <c r="C49" s="395" t="s">
        <v>402</v>
      </c>
      <c r="D49" s="396"/>
      <c r="E49" s="397"/>
    </row>
    <row r="50" spans="1:5" ht="13.5" customHeight="1" x14ac:dyDescent="0.25">
      <c r="A50" s="398">
        <f t="shared" si="0"/>
        <v>44</v>
      </c>
      <c r="B50" s="399" t="s">
        <v>368</v>
      </c>
      <c r="C50" s="399" t="s">
        <v>403</v>
      </c>
      <c r="D50" s="400"/>
      <c r="E50" s="401"/>
    </row>
    <row r="51" spans="1:5" ht="13.5" customHeight="1" x14ac:dyDescent="0.25">
      <c r="A51" s="398">
        <f t="shared" si="0"/>
        <v>45</v>
      </c>
      <c r="B51" s="399" t="s">
        <v>370</v>
      </c>
      <c r="C51" s="399" t="s">
        <v>404</v>
      </c>
      <c r="D51" s="400"/>
      <c r="E51" s="401"/>
    </row>
    <row r="52" spans="1:5" ht="13.5" customHeight="1" x14ac:dyDescent="0.25">
      <c r="A52" s="398">
        <f t="shared" si="0"/>
        <v>46</v>
      </c>
      <c r="B52" s="399" t="s">
        <v>372</v>
      </c>
      <c r="C52" s="399" t="s">
        <v>405</v>
      </c>
      <c r="D52" s="400"/>
      <c r="E52" s="401"/>
    </row>
    <row r="53" spans="1:5" ht="13.5" customHeight="1" x14ac:dyDescent="0.25">
      <c r="A53" s="398">
        <f t="shared" si="0"/>
        <v>47</v>
      </c>
      <c r="B53" s="399" t="s">
        <v>374</v>
      </c>
      <c r="C53" s="399" t="s">
        <v>406</v>
      </c>
      <c r="D53" s="400"/>
      <c r="E53" s="401"/>
    </row>
    <row r="54" spans="1:5" ht="13.5" customHeight="1" x14ac:dyDescent="0.25">
      <c r="A54" s="398">
        <f t="shared" si="0"/>
        <v>48</v>
      </c>
      <c r="B54" s="399" t="s">
        <v>376</v>
      </c>
      <c r="C54" s="399" t="s">
        <v>407</v>
      </c>
      <c r="D54" s="400"/>
      <c r="E54" s="401"/>
    </row>
    <row r="55" spans="1:5" ht="13.5" customHeight="1" x14ac:dyDescent="0.25">
      <c r="A55" s="394">
        <f t="shared" si="0"/>
        <v>49</v>
      </c>
      <c r="B55" s="395" t="s">
        <v>408</v>
      </c>
      <c r="C55" s="395" t="s">
        <v>409</v>
      </c>
      <c r="D55" s="396">
        <f>SUM(D56:D57)</f>
        <v>14060</v>
      </c>
      <c r="E55" s="397">
        <f>SUM(E56:E57)</f>
        <v>17334</v>
      </c>
    </row>
    <row r="56" spans="1:5" ht="13.5" customHeight="1" x14ac:dyDescent="0.25">
      <c r="A56" s="398">
        <f t="shared" si="0"/>
        <v>50</v>
      </c>
      <c r="B56" s="399" t="s">
        <v>410</v>
      </c>
      <c r="C56" s="399" t="s">
        <v>411</v>
      </c>
      <c r="D56" s="400">
        <v>69</v>
      </c>
      <c r="E56" s="401">
        <v>70</v>
      </c>
    </row>
    <row r="57" spans="1:5" ht="13.5" customHeight="1" x14ac:dyDescent="0.25">
      <c r="A57" s="398">
        <f t="shared" si="0"/>
        <v>51</v>
      </c>
      <c r="B57" s="399" t="s">
        <v>412</v>
      </c>
      <c r="C57" s="399" t="s">
        <v>413</v>
      </c>
      <c r="D57" s="400">
        <v>13991</v>
      </c>
      <c r="E57" s="401">
        <v>17264</v>
      </c>
    </row>
    <row r="58" spans="1:5" ht="13.5" customHeight="1" x14ac:dyDescent="0.25">
      <c r="A58" s="389">
        <f t="shared" si="0"/>
        <v>52</v>
      </c>
      <c r="B58" s="390" t="s">
        <v>414</v>
      </c>
      <c r="C58" s="390" t="s">
        <v>415</v>
      </c>
      <c r="D58" s="396">
        <f>SUM(D59:D60)</f>
        <v>170472</v>
      </c>
      <c r="E58" s="397">
        <f>SUM(E59:E60)</f>
        <v>169360</v>
      </c>
    </row>
    <row r="59" spans="1:5" ht="13.5" customHeight="1" x14ac:dyDescent="0.25">
      <c r="A59" s="408">
        <f t="shared" si="0"/>
        <v>53</v>
      </c>
      <c r="B59" s="399" t="s">
        <v>416</v>
      </c>
      <c r="C59" s="399" t="s">
        <v>417</v>
      </c>
      <c r="D59" s="400">
        <v>167067</v>
      </c>
      <c r="E59" s="401">
        <v>167675</v>
      </c>
    </row>
    <row r="60" spans="1:5" ht="13.5" customHeight="1" x14ac:dyDescent="0.25">
      <c r="A60" s="408">
        <f t="shared" si="0"/>
        <v>54</v>
      </c>
      <c r="B60" s="399" t="s">
        <v>418</v>
      </c>
      <c r="C60" s="399" t="s">
        <v>419</v>
      </c>
      <c r="D60" s="400">
        <v>3405</v>
      </c>
      <c r="E60" s="401">
        <v>1685</v>
      </c>
    </row>
    <row r="61" spans="1:5" ht="13.5" customHeight="1" x14ac:dyDescent="0.25">
      <c r="A61" s="408">
        <f t="shared" si="0"/>
        <v>55</v>
      </c>
      <c r="B61" s="399" t="s">
        <v>420</v>
      </c>
      <c r="C61" s="399" t="s">
        <v>421</v>
      </c>
      <c r="D61" s="400"/>
      <c r="E61" s="401"/>
    </row>
    <row r="62" spans="1:5" ht="13.5" customHeight="1" thickBot="1" x14ac:dyDescent="0.3">
      <c r="A62" s="409">
        <f t="shared" si="0"/>
        <v>56</v>
      </c>
      <c r="B62" s="410"/>
      <c r="C62" s="411" t="s">
        <v>422</v>
      </c>
      <c r="D62" s="412">
        <f>SUM(D7,D33,D58)</f>
        <v>600147</v>
      </c>
      <c r="E62" s="413">
        <f>SUM(E7,E33,E58)</f>
        <v>556012</v>
      </c>
    </row>
  </sheetData>
  <mergeCells count="5">
    <mergeCell ref="A3:E3"/>
    <mergeCell ref="F3:G3"/>
    <mergeCell ref="A4:E4"/>
    <mergeCell ref="A5:C5"/>
    <mergeCell ref="D5:E5"/>
  </mergeCells>
  <pageMargins left="0.43307086614173229" right="0.27559055118110237" top="0.11811023622047245" bottom="0.23622047244094491" header="0.19685039370078741" footer="0.23622047244094491"/>
  <pageSetup paperSize="9" scale="96" orientation="portrait" r:id="rId1"/>
  <headerFooter alignWithMargins="0">
    <oddHeader>&amp;R&amp;8 13.a melléklet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3"/>
  <sheetViews>
    <sheetView view="pageBreakPreview" topLeftCell="A38" zoomScale="60" zoomScaleNormal="100" workbookViewId="0">
      <selection activeCell="F3" sqref="F3"/>
    </sheetView>
  </sheetViews>
  <sheetFormatPr defaultColWidth="10.28515625" defaultRowHeight="15.75" x14ac:dyDescent="0.25"/>
  <cols>
    <col min="1" max="1" width="4" style="414" customWidth="1"/>
    <col min="2" max="2" width="4.140625" style="414" customWidth="1"/>
    <col min="3" max="3" width="48" style="414" customWidth="1"/>
    <col min="4" max="4" width="11.7109375" style="415" customWidth="1"/>
    <col min="5" max="5" width="11.5703125" style="415" customWidth="1"/>
    <col min="6" max="6" width="10.28515625" style="393" customWidth="1"/>
    <col min="7" max="7" width="11.28515625" style="393" bestFit="1" customWidth="1"/>
    <col min="8" max="10" width="10.28515625" style="393" customWidth="1"/>
    <col min="11" max="11" width="11.28515625" style="393" bestFit="1" customWidth="1"/>
    <col min="12" max="16384" width="10.28515625" style="393"/>
  </cols>
  <sheetData>
    <row r="2" spans="1:5" ht="16.5" thickBot="1" x14ac:dyDescent="0.3">
      <c r="E2" s="415" t="s">
        <v>491</v>
      </c>
    </row>
    <row r="3" spans="1:5" x14ac:dyDescent="0.25">
      <c r="A3" s="587" t="s">
        <v>327</v>
      </c>
      <c r="B3" s="588"/>
      <c r="C3" s="588"/>
      <c r="D3" s="588"/>
      <c r="E3" s="589"/>
    </row>
    <row r="4" spans="1:5" ht="12.75" customHeight="1" x14ac:dyDescent="0.25">
      <c r="A4" s="600" t="s">
        <v>424</v>
      </c>
      <c r="B4" s="601"/>
      <c r="C4" s="601"/>
      <c r="D4" s="601"/>
      <c r="E4" s="602"/>
    </row>
    <row r="5" spans="1:5" ht="13.5" customHeight="1" x14ac:dyDescent="0.25">
      <c r="A5" s="603"/>
      <c r="B5" s="604"/>
      <c r="C5" s="605"/>
      <c r="D5" s="598">
        <v>2013</v>
      </c>
      <c r="E5" s="599"/>
    </row>
    <row r="6" spans="1:5" s="383" customFormat="1" ht="28.5" customHeight="1" thickBot="1" x14ac:dyDescent="0.25">
      <c r="A6" s="384"/>
      <c r="B6" s="385"/>
      <c r="C6" s="386" t="s">
        <v>329</v>
      </c>
      <c r="D6" s="416" t="s">
        <v>330</v>
      </c>
      <c r="E6" s="417" t="s">
        <v>331</v>
      </c>
    </row>
    <row r="7" spans="1:5" ht="13.5" customHeight="1" x14ac:dyDescent="0.25">
      <c r="A7" s="389">
        <v>57</v>
      </c>
      <c r="B7" s="390" t="s">
        <v>425</v>
      </c>
      <c r="C7" s="390" t="s">
        <v>426</v>
      </c>
      <c r="D7" s="418">
        <f>SUM(D8:D17)</f>
        <v>242602</v>
      </c>
      <c r="E7" s="419">
        <f>SUM(E8:E17)</f>
        <v>201224</v>
      </c>
    </row>
    <row r="8" spans="1:5" ht="12.75" customHeight="1" x14ac:dyDescent="0.25">
      <c r="A8" s="420">
        <f t="shared" ref="A8:A41" si="0">+A7+1</f>
        <v>58</v>
      </c>
      <c r="B8" s="421" t="s">
        <v>334</v>
      </c>
      <c r="C8" s="421" t="s">
        <v>427</v>
      </c>
      <c r="D8" s="422">
        <v>407600</v>
      </c>
      <c r="E8" s="423">
        <v>407600</v>
      </c>
    </row>
    <row r="9" spans="1:5" ht="13.5" customHeight="1" x14ac:dyDescent="0.25">
      <c r="A9" s="398">
        <f t="shared" si="0"/>
        <v>59</v>
      </c>
      <c r="B9" s="399"/>
      <c r="C9" s="399" t="s">
        <v>428</v>
      </c>
      <c r="D9" s="400"/>
      <c r="E9" s="401"/>
    </row>
    <row r="10" spans="1:5" ht="14.25" customHeight="1" x14ac:dyDescent="0.25">
      <c r="A10" s="398">
        <f t="shared" si="0"/>
        <v>60</v>
      </c>
      <c r="B10" s="399" t="s">
        <v>350</v>
      </c>
      <c r="C10" s="399" t="s">
        <v>429</v>
      </c>
      <c r="D10" s="400"/>
      <c r="E10" s="401"/>
    </row>
    <row r="11" spans="1:5" x14ac:dyDescent="0.25">
      <c r="A11" s="398">
        <f t="shared" si="0"/>
        <v>61</v>
      </c>
      <c r="B11" s="399" t="s">
        <v>366</v>
      </c>
      <c r="C11" s="399" t="s">
        <v>430</v>
      </c>
      <c r="D11" s="400">
        <v>122752</v>
      </c>
      <c r="E11" s="401">
        <v>122752</v>
      </c>
    </row>
    <row r="12" spans="1:5" x14ac:dyDescent="0.25">
      <c r="A12" s="398">
        <f t="shared" si="0"/>
        <v>62</v>
      </c>
      <c r="B12" s="399" t="s">
        <v>431</v>
      </c>
      <c r="C12" s="399" t="s">
        <v>432</v>
      </c>
      <c r="D12" s="400">
        <v>-190767</v>
      </c>
      <c r="E12" s="401">
        <v>-287750</v>
      </c>
    </row>
    <row r="13" spans="1:5" x14ac:dyDescent="0.25">
      <c r="A13" s="398">
        <f t="shared" si="0"/>
        <v>63</v>
      </c>
      <c r="B13" s="399" t="s">
        <v>433</v>
      </c>
      <c r="C13" s="399" t="s">
        <v>434</v>
      </c>
      <c r="D13" s="400"/>
      <c r="E13" s="401"/>
    </row>
    <row r="14" spans="1:5" x14ac:dyDescent="0.25">
      <c r="A14" s="398">
        <f t="shared" si="0"/>
        <v>64</v>
      </c>
      <c r="B14" s="399" t="s">
        <v>435</v>
      </c>
      <c r="C14" s="399" t="s">
        <v>436</v>
      </c>
      <c r="D14" s="400"/>
      <c r="E14" s="401"/>
    </row>
    <row r="15" spans="1:5" x14ac:dyDescent="0.25">
      <c r="A15" s="398">
        <f t="shared" si="0"/>
        <v>65</v>
      </c>
      <c r="B15" s="399" t="s">
        <v>437</v>
      </c>
      <c r="C15" s="399" t="s">
        <v>438</v>
      </c>
      <c r="D15" s="400"/>
      <c r="E15" s="401"/>
    </row>
    <row r="16" spans="1:5" x14ac:dyDescent="0.25">
      <c r="A16" s="398">
        <f t="shared" si="0"/>
        <v>66</v>
      </c>
      <c r="B16" s="399" t="s">
        <v>439</v>
      </c>
      <c r="C16" s="399" t="s">
        <v>440</v>
      </c>
      <c r="D16" s="396"/>
      <c r="E16" s="397"/>
    </row>
    <row r="17" spans="1:5" x14ac:dyDescent="0.25">
      <c r="A17" s="398">
        <f t="shared" si="0"/>
        <v>67</v>
      </c>
      <c r="B17" s="399" t="s">
        <v>441</v>
      </c>
      <c r="C17" s="399" t="s">
        <v>442</v>
      </c>
      <c r="D17" s="400">
        <v>-96983</v>
      </c>
      <c r="E17" s="401">
        <v>-41378</v>
      </c>
    </row>
    <row r="18" spans="1:5" x14ac:dyDescent="0.25">
      <c r="A18" s="389">
        <f t="shared" si="0"/>
        <v>68</v>
      </c>
      <c r="B18" s="390" t="s">
        <v>443</v>
      </c>
      <c r="C18" s="390" t="s">
        <v>444</v>
      </c>
      <c r="D18" s="400"/>
      <c r="E18" s="401"/>
    </row>
    <row r="19" spans="1:5" x14ac:dyDescent="0.25">
      <c r="A19" s="398">
        <f t="shared" si="0"/>
        <v>69</v>
      </c>
      <c r="B19" s="399" t="s">
        <v>445</v>
      </c>
      <c r="C19" s="399" t="s">
        <v>446</v>
      </c>
      <c r="D19" s="400"/>
      <c r="E19" s="401"/>
    </row>
    <row r="20" spans="1:5" x14ac:dyDescent="0.25">
      <c r="A20" s="398">
        <f t="shared" si="0"/>
        <v>70</v>
      </c>
      <c r="B20" s="399" t="s">
        <v>447</v>
      </c>
      <c r="C20" s="399" t="s">
        <v>448</v>
      </c>
      <c r="D20" s="400"/>
      <c r="E20" s="401"/>
    </row>
    <row r="21" spans="1:5" x14ac:dyDescent="0.25">
      <c r="A21" s="398">
        <f t="shared" si="0"/>
        <v>71</v>
      </c>
      <c r="B21" s="399" t="s">
        <v>449</v>
      </c>
      <c r="C21" s="399" t="s">
        <v>450</v>
      </c>
      <c r="D21" s="400"/>
      <c r="E21" s="401"/>
    </row>
    <row r="22" spans="1:5" x14ac:dyDescent="0.25">
      <c r="A22" s="389">
        <f t="shared" si="0"/>
        <v>72</v>
      </c>
      <c r="B22" s="390" t="s">
        <v>451</v>
      </c>
      <c r="C22" s="390" t="s">
        <v>452</v>
      </c>
      <c r="D22" s="424">
        <f>SUM(D23,D27,D36)</f>
        <v>72410</v>
      </c>
      <c r="E22" s="425">
        <f>SUM(E23,E27,E36)</f>
        <v>85107</v>
      </c>
    </row>
    <row r="23" spans="1:5" x14ac:dyDescent="0.25">
      <c r="A23" s="408">
        <f t="shared" si="0"/>
        <v>73</v>
      </c>
      <c r="B23" s="395" t="s">
        <v>334</v>
      </c>
      <c r="C23" s="395" t="s">
        <v>453</v>
      </c>
      <c r="D23" s="400"/>
      <c r="E23" s="401"/>
    </row>
    <row r="24" spans="1:5" x14ac:dyDescent="0.25">
      <c r="A24" s="398">
        <f t="shared" si="0"/>
        <v>74</v>
      </c>
      <c r="B24" s="426" t="s">
        <v>336</v>
      </c>
      <c r="C24" s="426" t="s">
        <v>454</v>
      </c>
      <c r="D24" s="396"/>
      <c r="E24" s="397"/>
    </row>
    <row r="25" spans="1:5" ht="27" x14ac:dyDescent="0.25">
      <c r="A25" s="427">
        <f t="shared" si="0"/>
        <v>75</v>
      </c>
      <c r="B25" s="428" t="s">
        <v>338</v>
      </c>
      <c r="C25" s="404" t="s">
        <v>455</v>
      </c>
      <c r="D25" s="400"/>
      <c r="E25" s="401"/>
    </row>
    <row r="26" spans="1:5" x14ac:dyDescent="0.25">
      <c r="A26" s="398">
        <f t="shared" si="0"/>
        <v>76</v>
      </c>
      <c r="B26" s="426" t="s">
        <v>340</v>
      </c>
      <c r="C26" s="426" t="s">
        <v>456</v>
      </c>
      <c r="D26" s="400"/>
      <c r="E26" s="401"/>
    </row>
    <row r="27" spans="1:5" x14ac:dyDescent="0.25">
      <c r="A27" s="408">
        <f t="shared" si="0"/>
        <v>77</v>
      </c>
      <c r="B27" s="395" t="s">
        <v>350</v>
      </c>
      <c r="C27" s="395" t="s">
        <v>457</v>
      </c>
      <c r="D27" s="429"/>
      <c r="E27" s="430"/>
    </row>
    <row r="28" spans="1:5" x14ac:dyDescent="0.25">
      <c r="A28" s="398">
        <f t="shared" si="0"/>
        <v>78</v>
      </c>
      <c r="B28" s="426" t="s">
        <v>352</v>
      </c>
      <c r="C28" s="426" t="s">
        <v>458</v>
      </c>
      <c r="D28" s="405"/>
      <c r="E28" s="406"/>
    </row>
    <row r="29" spans="1:5" x14ac:dyDescent="0.25">
      <c r="A29" s="398">
        <f t="shared" si="0"/>
        <v>79</v>
      </c>
      <c r="B29" s="426" t="s">
        <v>354</v>
      </c>
      <c r="C29" s="426" t="s">
        <v>459</v>
      </c>
      <c r="D29" s="400"/>
      <c r="E29" s="401"/>
    </row>
    <row r="30" spans="1:5" x14ac:dyDescent="0.25">
      <c r="A30" s="398">
        <f t="shared" si="0"/>
        <v>80</v>
      </c>
      <c r="B30" s="426" t="s">
        <v>356</v>
      </c>
      <c r="C30" s="426" t="s">
        <v>460</v>
      </c>
      <c r="D30" s="400"/>
      <c r="E30" s="401"/>
    </row>
    <row r="31" spans="1:5" x14ac:dyDescent="0.25">
      <c r="A31" s="398">
        <f t="shared" si="0"/>
        <v>81</v>
      </c>
      <c r="B31" s="426" t="s">
        <v>358</v>
      </c>
      <c r="C31" s="426" t="s">
        <v>461</v>
      </c>
      <c r="D31" s="400"/>
      <c r="E31" s="401"/>
    </row>
    <row r="32" spans="1:5" x14ac:dyDescent="0.25">
      <c r="A32" s="398">
        <f t="shared" si="0"/>
        <v>82</v>
      </c>
      <c r="B32" s="426" t="s">
        <v>360</v>
      </c>
      <c r="C32" s="426" t="s">
        <v>462</v>
      </c>
      <c r="D32" s="400"/>
      <c r="E32" s="401"/>
    </row>
    <row r="33" spans="1:11" x14ac:dyDescent="0.25">
      <c r="A33" s="398">
        <f t="shared" si="0"/>
        <v>83</v>
      </c>
      <c r="B33" s="426" t="s">
        <v>362</v>
      </c>
      <c r="C33" s="426" t="s">
        <v>463</v>
      </c>
      <c r="D33" s="396"/>
      <c r="E33" s="397"/>
    </row>
    <row r="34" spans="1:11" ht="27" x14ac:dyDescent="0.25">
      <c r="A34" s="427">
        <f t="shared" si="0"/>
        <v>84</v>
      </c>
      <c r="B34" s="428" t="s">
        <v>364</v>
      </c>
      <c r="C34" s="404" t="s">
        <v>464</v>
      </c>
      <c r="D34" s="396"/>
      <c r="E34" s="397"/>
    </row>
    <row r="35" spans="1:11" x14ac:dyDescent="0.25">
      <c r="A35" s="398">
        <f t="shared" si="0"/>
        <v>85</v>
      </c>
      <c r="B35" s="426" t="s">
        <v>465</v>
      </c>
      <c r="C35" s="426" t="s">
        <v>466</v>
      </c>
      <c r="D35" s="400"/>
      <c r="E35" s="401"/>
    </row>
    <row r="36" spans="1:11" x14ac:dyDescent="0.25">
      <c r="A36" s="408">
        <f t="shared" si="0"/>
        <v>86</v>
      </c>
      <c r="B36" s="395" t="s">
        <v>366</v>
      </c>
      <c r="C36" s="395" t="s">
        <v>467</v>
      </c>
      <c r="D36" s="431">
        <f>SUM(D37:D48)</f>
        <v>72410</v>
      </c>
      <c r="E36" s="432">
        <f>SUM(E37:E48)</f>
        <v>85107</v>
      </c>
    </row>
    <row r="37" spans="1:11" x14ac:dyDescent="0.25">
      <c r="A37" s="398">
        <f t="shared" si="0"/>
        <v>87</v>
      </c>
      <c r="B37" s="426" t="s">
        <v>368</v>
      </c>
      <c r="C37" s="426" t="s">
        <v>468</v>
      </c>
      <c r="D37" s="400"/>
      <c r="E37" s="401"/>
    </row>
    <row r="38" spans="1:11" x14ac:dyDescent="0.25">
      <c r="A38" s="398">
        <f t="shared" si="0"/>
        <v>88</v>
      </c>
      <c r="B38" s="426"/>
      <c r="C38" s="426" t="s">
        <v>469</v>
      </c>
      <c r="D38" s="400"/>
      <c r="E38" s="401"/>
    </row>
    <row r="39" spans="1:11" x14ac:dyDescent="0.25">
      <c r="A39" s="398">
        <f t="shared" si="0"/>
        <v>89</v>
      </c>
      <c r="B39" s="426" t="s">
        <v>370</v>
      </c>
      <c r="C39" s="426" t="s">
        <v>470</v>
      </c>
      <c r="D39" s="400">
        <v>42</v>
      </c>
      <c r="E39" s="401">
        <v>0</v>
      </c>
    </row>
    <row r="40" spans="1:11" x14ac:dyDescent="0.25">
      <c r="A40" s="398">
        <f t="shared" si="0"/>
        <v>90</v>
      </c>
      <c r="B40" s="426" t="s">
        <v>372</v>
      </c>
      <c r="C40" s="426" t="s">
        <v>471</v>
      </c>
      <c r="D40" s="400"/>
      <c r="E40" s="401"/>
    </row>
    <row r="41" spans="1:11" x14ac:dyDescent="0.25">
      <c r="A41" s="398">
        <f t="shared" si="0"/>
        <v>91</v>
      </c>
      <c r="B41" s="426" t="s">
        <v>374</v>
      </c>
      <c r="C41" s="426" t="s">
        <v>472</v>
      </c>
      <c r="D41" s="422">
        <v>24093</v>
      </c>
      <c r="E41" s="423">
        <v>37327</v>
      </c>
      <c r="G41" s="402"/>
    </row>
    <row r="42" spans="1:11" x14ac:dyDescent="0.25">
      <c r="A42" s="398"/>
      <c r="B42" s="426"/>
      <c r="C42" s="426" t="s">
        <v>473</v>
      </c>
      <c r="D42" s="422"/>
      <c r="E42" s="423"/>
      <c r="G42" s="402"/>
    </row>
    <row r="43" spans="1:11" x14ac:dyDescent="0.25">
      <c r="A43" s="398">
        <f>+A41+1</f>
        <v>92</v>
      </c>
      <c r="B43" s="426" t="s">
        <v>376</v>
      </c>
      <c r="C43" s="426" t="s">
        <v>474</v>
      </c>
      <c r="D43" s="400"/>
      <c r="E43" s="401"/>
      <c r="G43" s="402"/>
    </row>
    <row r="44" spans="1:11" x14ac:dyDescent="0.25">
      <c r="A44" s="398">
        <f t="shared" ref="A44:A53" si="1">+A43+1</f>
        <v>93</v>
      </c>
      <c r="B44" s="426" t="s">
        <v>378</v>
      </c>
      <c r="C44" s="426" t="s">
        <v>475</v>
      </c>
      <c r="D44" s="400"/>
      <c r="E44" s="401"/>
    </row>
    <row r="45" spans="1:11" ht="27" x14ac:dyDescent="0.25">
      <c r="A45" s="427">
        <f t="shared" si="1"/>
        <v>94</v>
      </c>
      <c r="B45" s="428" t="s">
        <v>380</v>
      </c>
      <c r="C45" s="404" t="s">
        <v>476</v>
      </c>
      <c r="D45" s="400"/>
      <c r="E45" s="401"/>
    </row>
    <row r="46" spans="1:11" ht="13.5" customHeight="1" x14ac:dyDescent="0.25">
      <c r="A46" s="427">
        <f t="shared" si="1"/>
        <v>95</v>
      </c>
      <c r="B46" s="426" t="s">
        <v>382</v>
      </c>
      <c r="C46" s="426" t="s">
        <v>477</v>
      </c>
      <c r="D46" s="400">
        <v>48275</v>
      </c>
      <c r="E46" s="401">
        <v>47780</v>
      </c>
    </row>
    <row r="47" spans="1:11" ht="12.75" customHeight="1" x14ac:dyDescent="0.25">
      <c r="A47" s="427">
        <f t="shared" si="1"/>
        <v>96</v>
      </c>
      <c r="B47" s="426" t="s">
        <v>478</v>
      </c>
      <c r="C47" s="426" t="s">
        <v>479</v>
      </c>
      <c r="D47" s="400"/>
      <c r="E47" s="401"/>
      <c r="K47" s="402"/>
    </row>
    <row r="48" spans="1:11" x14ac:dyDescent="0.25">
      <c r="A48" s="398">
        <f t="shared" si="1"/>
        <v>97</v>
      </c>
      <c r="B48" s="426" t="s">
        <v>480</v>
      </c>
      <c r="C48" s="426" t="s">
        <v>481</v>
      </c>
      <c r="D48" s="400"/>
      <c r="E48" s="401"/>
    </row>
    <row r="49" spans="1:8" x14ac:dyDescent="0.25">
      <c r="A49" s="389">
        <f t="shared" si="1"/>
        <v>98</v>
      </c>
      <c r="B49" s="433" t="s">
        <v>482</v>
      </c>
      <c r="C49" s="390" t="s">
        <v>483</v>
      </c>
      <c r="D49" s="431">
        <f>SUM(D50:D52)</f>
        <v>285135</v>
      </c>
      <c r="E49" s="432">
        <f>SUM(E50:E52)</f>
        <v>269681</v>
      </c>
    </row>
    <row r="50" spans="1:8" x14ac:dyDescent="0.25">
      <c r="A50" s="408">
        <f t="shared" si="1"/>
        <v>99</v>
      </c>
      <c r="B50" s="426" t="s">
        <v>484</v>
      </c>
      <c r="C50" s="426" t="s">
        <v>485</v>
      </c>
      <c r="D50" s="422">
        <v>20299</v>
      </c>
      <c r="E50" s="423">
        <v>438</v>
      </c>
    </row>
    <row r="51" spans="1:8" x14ac:dyDescent="0.25">
      <c r="A51" s="408">
        <f t="shared" si="1"/>
        <v>100</v>
      </c>
      <c r="B51" s="426" t="s">
        <v>486</v>
      </c>
      <c r="C51" s="426" t="s">
        <v>487</v>
      </c>
      <c r="D51" s="400">
        <v>9249</v>
      </c>
      <c r="E51" s="401">
        <v>24827</v>
      </c>
    </row>
    <row r="52" spans="1:8" ht="13.5" customHeight="1" x14ac:dyDescent="0.25">
      <c r="A52" s="408">
        <f t="shared" si="1"/>
        <v>101</v>
      </c>
      <c r="B52" s="426" t="s">
        <v>488</v>
      </c>
      <c r="C52" s="426" t="s">
        <v>489</v>
      </c>
      <c r="D52" s="400">
        <v>255587</v>
      </c>
      <c r="E52" s="401">
        <v>244416</v>
      </c>
    </row>
    <row r="53" spans="1:8" ht="15.75" customHeight="1" thickBot="1" x14ac:dyDescent="0.3">
      <c r="A53" s="409">
        <f t="shared" si="1"/>
        <v>102</v>
      </c>
      <c r="B53" s="434"/>
      <c r="C53" s="410" t="s">
        <v>490</v>
      </c>
      <c r="D53" s="435">
        <f>SUM(D7,D18,D22,D49)</f>
        <v>600147</v>
      </c>
      <c r="E53" s="436">
        <f>SUM(E7,E18,E22,E49)</f>
        <v>556012</v>
      </c>
    </row>
    <row r="54" spans="1:8" hidden="1" x14ac:dyDescent="0.25">
      <c r="A54" s="437"/>
      <c r="B54" s="438"/>
      <c r="C54" s="438"/>
      <c r="D54" s="439"/>
      <c r="E54" s="439"/>
    </row>
    <row r="55" spans="1:8" s="443" customFormat="1" x14ac:dyDescent="0.25">
      <c r="A55" s="440"/>
      <c r="B55" s="441"/>
      <c r="C55" s="441"/>
      <c r="D55" s="442"/>
      <c r="E55" s="442"/>
    </row>
    <row r="56" spans="1:8" s="443" customFormat="1" x14ac:dyDescent="0.25">
      <c r="A56" s="444"/>
      <c r="B56" s="445"/>
      <c r="C56" s="445"/>
      <c r="D56" s="446"/>
      <c r="E56" s="446"/>
      <c r="H56" s="447"/>
    </row>
    <row r="57" spans="1:8" s="443" customFormat="1" x14ac:dyDescent="0.25">
      <c r="A57" s="440"/>
      <c r="B57" s="441"/>
      <c r="C57" s="441"/>
      <c r="D57" s="442"/>
      <c r="E57" s="442"/>
      <c r="H57" s="447"/>
    </row>
    <row r="58" spans="1:8" s="443" customFormat="1" x14ac:dyDescent="0.25">
      <c r="A58" s="440"/>
      <c r="B58" s="441"/>
      <c r="C58" s="441"/>
      <c r="D58" s="442"/>
      <c r="E58" s="442"/>
      <c r="H58" s="447"/>
    </row>
    <row r="59" spans="1:8" s="443" customFormat="1" x14ac:dyDescent="0.25">
      <c r="A59" s="448"/>
      <c r="B59" s="449"/>
      <c r="C59" s="449"/>
      <c r="D59" s="446"/>
      <c r="E59" s="446"/>
      <c r="H59" s="447"/>
    </row>
    <row r="60" spans="1:8" s="443" customFormat="1" x14ac:dyDescent="0.25">
      <c r="A60" s="450"/>
      <c r="B60" s="441"/>
      <c r="C60" s="441"/>
      <c r="D60" s="442"/>
      <c r="E60" s="442"/>
    </row>
    <row r="61" spans="1:8" s="443" customFormat="1" x14ac:dyDescent="0.25">
      <c r="A61" s="450"/>
      <c r="B61" s="441"/>
      <c r="C61" s="441"/>
      <c r="D61" s="442"/>
      <c r="E61" s="442"/>
    </row>
    <row r="62" spans="1:8" s="443" customFormat="1" x14ac:dyDescent="0.25">
      <c r="A62" s="450"/>
      <c r="B62" s="441"/>
      <c r="C62" s="441"/>
      <c r="D62" s="442"/>
      <c r="E62" s="442"/>
    </row>
    <row r="63" spans="1:8" s="443" customFormat="1" x14ac:dyDescent="0.25">
      <c r="A63" s="448"/>
      <c r="B63" s="448"/>
      <c r="C63" s="449"/>
      <c r="D63" s="446"/>
      <c r="E63" s="446"/>
    </row>
  </sheetData>
  <mergeCells count="4">
    <mergeCell ref="A3:E3"/>
    <mergeCell ref="A4:E4"/>
    <mergeCell ref="A5:C5"/>
    <mergeCell ref="D5:E5"/>
  </mergeCells>
  <pageMargins left="0" right="0.27559055118110237" top="0.15748031496062992" bottom="0.23622047244094491" header="0.11811023622047245" footer="0.23622047244094491"/>
  <pageSetup paperSize="9" scale="97" orientation="portrait" r:id="rId1"/>
  <headerFooter alignWithMargins="0">
    <oddHeader>&amp;R&amp;8 13.b melléklet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6"/>
  <sheetViews>
    <sheetView view="pageBreakPreview" topLeftCell="A41" zoomScale="60" zoomScaleNormal="100" workbookViewId="0">
      <selection activeCell="A3" sqref="A3:E3"/>
    </sheetView>
  </sheetViews>
  <sheetFormatPr defaultColWidth="10.28515625" defaultRowHeight="15.75" x14ac:dyDescent="0.25"/>
  <cols>
    <col min="1" max="1" width="4" style="414" customWidth="1"/>
    <col min="2" max="2" width="4.140625" style="414" customWidth="1"/>
    <col min="3" max="3" width="50.140625" style="414" customWidth="1"/>
    <col min="4" max="5" width="15.85546875" style="414" customWidth="1"/>
    <col min="6" max="6" width="14.140625" style="393" bestFit="1" customWidth="1"/>
    <col min="7" max="16384" width="10.28515625" style="393"/>
  </cols>
  <sheetData>
    <row r="2" spans="1:6" ht="16.5" thickBot="1" x14ac:dyDescent="0.3">
      <c r="E2" s="414" t="s">
        <v>548</v>
      </c>
    </row>
    <row r="3" spans="1:6" x14ac:dyDescent="0.25">
      <c r="A3" s="587" t="s">
        <v>327</v>
      </c>
      <c r="B3" s="588"/>
      <c r="C3" s="588"/>
      <c r="D3" s="588"/>
      <c r="E3" s="589"/>
    </row>
    <row r="4" spans="1:6" x14ac:dyDescent="0.25">
      <c r="A4" s="606" t="s">
        <v>492</v>
      </c>
      <c r="B4" s="607"/>
      <c r="C4" s="607"/>
      <c r="D4" s="607"/>
      <c r="E4" s="608"/>
    </row>
    <row r="5" spans="1:6" x14ac:dyDescent="0.25">
      <c r="A5" s="609"/>
      <c r="B5" s="610"/>
      <c r="C5" s="610"/>
      <c r="D5" s="610"/>
      <c r="E5" s="611"/>
    </row>
    <row r="6" spans="1:6" ht="26.25" customHeight="1" thickBot="1" x14ac:dyDescent="0.3">
      <c r="A6" s="451"/>
      <c r="B6" s="452"/>
      <c r="C6" s="453" t="s">
        <v>329</v>
      </c>
      <c r="D6" s="454" t="s">
        <v>330</v>
      </c>
      <c r="E6" s="455" t="s">
        <v>331</v>
      </c>
    </row>
    <row r="7" spans="1:6" ht="12.75" customHeight="1" x14ac:dyDescent="0.25">
      <c r="A7" s="398">
        <v>1</v>
      </c>
      <c r="B7" s="456">
        <v>1</v>
      </c>
      <c r="C7" s="457" t="s">
        <v>493</v>
      </c>
      <c r="D7" s="458">
        <v>1567601</v>
      </c>
      <c r="E7" s="459">
        <v>1598264</v>
      </c>
    </row>
    <row r="8" spans="1:6" ht="12.75" customHeight="1" x14ac:dyDescent="0.25">
      <c r="A8" s="398"/>
      <c r="B8" s="456"/>
      <c r="C8" s="457" t="s">
        <v>494</v>
      </c>
      <c r="D8" s="460">
        <v>1414753</v>
      </c>
      <c r="E8" s="461">
        <v>1438719</v>
      </c>
    </row>
    <row r="9" spans="1:6" ht="12.75" customHeight="1" x14ac:dyDescent="0.25">
      <c r="A9" s="398"/>
      <c r="B9" s="456"/>
      <c r="C9" s="457" t="s">
        <v>495</v>
      </c>
      <c r="D9" s="460">
        <f>D7-D8</f>
        <v>152848</v>
      </c>
      <c r="E9" s="460">
        <f>E7-E8</f>
        <v>159545</v>
      </c>
    </row>
    <row r="10" spans="1:6" ht="13.5" customHeight="1" x14ac:dyDescent="0.25">
      <c r="A10" s="398">
        <f>+A7+1</f>
        <v>2</v>
      </c>
      <c r="B10" s="462">
        <v>2</v>
      </c>
      <c r="C10" s="463" t="s">
        <v>496</v>
      </c>
      <c r="D10" s="460"/>
      <c r="E10" s="461"/>
      <c r="F10" s="402"/>
    </row>
    <row r="11" spans="1:6" ht="15" customHeight="1" x14ac:dyDescent="0.25">
      <c r="A11" s="464">
        <f>+A10+1</f>
        <v>3</v>
      </c>
      <c r="B11" s="465" t="s">
        <v>334</v>
      </c>
      <c r="C11" s="466" t="s">
        <v>497</v>
      </c>
      <c r="D11" s="424">
        <f>SUM(D7,D10)</f>
        <v>1567601</v>
      </c>
      <c r="E11" s="425">
        <f>SUM(E7,E10)</f>
        <v>1598264</v>
      </c>
    </row>
    <row r="12" spans="1:6" ht="13.5" customHeight="1" x14ac:dyDescent="0.25">
      <c r="A12" s="398">
        <f>+A11+1</f>
        <v>4</v>
      </c>
      <c r="B12" s="462">
        <v>3</v>
      </c>
      <c r="C12" s="463" t="s">
        <v>498</v>
      </c>
      <c r="D12" s="467"/>
      <c r="E12" s="468"/>
    </row>
    <row r="13" spans="1:6" ht="13.5" customHeight="1" x14ac:dyDescent="0.25">
      <c r="A13" s="398">
        <f>+A12+1</f>
        <v>5</v>
      </c>
      <c r="B13" s="462">
        <v>4</v>
      </c>
      <c r="C13" s="463" t="s">
        <v>499</v>
      </c>
      <c r="D13" s="467"/>
      <c r="E13" s="468"/>
    </row>
    <row r="14" spans="1:6" ht="15" customHeight="1" x14ac:dyDescent="0.25">
      <c r="A14" s="464">
        <f>+A13+1</f>
        <v>6</v>
      </c>
      <c r="B14" s="465" t="s">
        <v>350</v>
      </c>
      <c r="C14" s="466" t="s">
        <v>500</v>
      </c>
      <c r="D14" s="467"/>
      <c r="E14" s="468"/>
    </row>
    <row r="15" spans="1:6" ht="12.75" customHeight="1" x14ac:dyDescent="0.25">
      <c r="A15" s="464">
        <f>+A14+1</f>
        <v>7</v>
      </c>
      <c r="B15" s="465" t="s">
        <v>366</v>
      </c>
      <c r="C15" s="466" t="s">
        <v>501</v>
      </c>
      <c r="D15" s="424">
        <f>SUM(D16:D17)</f>
        <v>125433</v>
      </c>
      <c r="E15" s="425">
        <f>SUM(E16:E17)</f>
        <v>178553</v>
      </c>
    </row>
    <row r="16" spans="1:6" ht="12.75" customHeight="1" x14ac:dyDescent="0.25">
      <c r="A16" s="464"/>
      <c r="B16" s="465"/>
      <c r="C16" s="395" t="s">
        <v>502</v>
      </c>
      <c r="D16" s="467">
        <v>123500</v>
      </c>
      <c r="E16" s="468">
        <v>177115</v>
      </c>
    </row>
    <row r="17" spans="1:5" ht="12.75" customHeight="1" x14ac:dyDescent="0.25">
      <c r="A17" s="464"/>
      <c r="B17" s="465"/>
      <c r="C17" s="395" t="s">
        <v>503</v>
      </c>
      <c r="D17" s="469">
        <v>1933</v>
      </c>
      <c r="E17" s="470">
        <f>178553-E16</f>
        <v>1438</v>
      </c>
    </row>
    <row r="18" spans="1:5" ht="12.75" customHeight="1" x14ac:dyDescent="0.25">
      <c r="A18" s="398">
        <f>+A15+1</f>
        <v>8</v>
      </c>
      <c r="B18" s="462"/>
      <c r="C18" s="463" t="s">
        <v>504</v>
      </c>
      <c r="D18" s="469"/>
      <c r="E18" s="470"/>
    </row>
    <row r="19" spans="1:5" ht="13.5" customHeight="1" x14ac:dyDescent="0.25">
      <c r="A19" s="398">
        <f t="shared" ref="A19:A62" si="0">+A18+1</f>
        <v>9</v>
      </c>
      <c r="B19" s="462">
        <v>5</v>
      </c>
      <c r="C19" s="463" t="s">
        <v>66</v>
      </c>
      <c r="D19" s="467">
        <v>175557</v>
      </c>
      <c r="E19" s="468">
        <v>189993</v>
      </c>
    </row>
    <row r="20" spans="1:5" ht="15" customHeight="1" x14ac:dyDescent="0.25">
      <c r="A20" s="398">
        <f t="shared" si="0"/>
        <v>10</v>
      </c>
      <c r="B20" s="462">
        <v>6</v>
      </c>
      <c r="C20" s="463" t="s">
        <v>505</v>
      </c>
      <c r="D20" s="460">
        <v>357118</v>
      </c>
      <c r="E20" s="461">
        <v>361135</v>
      </c>
    </row>
    <row r="21" spans="1:5" ht="15" customHeight="1" x14ac:dyDescent="0.25">
      <c r="A21" s="398">
        <f t="shared" si="0"/>
        <v>11</v>
      </c>
      <c r="B21" s="462">
        <v>7</v>
      </c>
      <c r="C21" s="463" t="s">
        <v>506</v>
      </c>
      <c r="D21" s="467">
        <v>9947</v>
      </c>
      <c r="E21" s="468">
        <v>10256</v>
      </c>
    </row>
    <row r="22" spans="1:5" ht="15" customHeight="1" x14ac:dyDescent="0.25">
      <c r="A22" s="398">
        <f t="shared" si="0"/>
        <v>12</v>
      </c>
      <c r="B22" s="462">
        <v>8</v>
      </c>
      <c r="C22" s="463" t="s">
        <v>507</v>
      </c>
      <c r="D22" s="467"/>
      <c r="E22" s="468"/>
    </row>
    <row r="23" spans="1:5" ht="15" customHeight="1" x14ac:dyDescent="0.25">
      <c r="A23" s="398">
        <f t="shared" si="0"/>
        <v>13</v>
      </c>
      <c r="B23" s="462">
        <v>9</v>
      </c>
      <c r="C23" s="463" t="s">
        <v>61</v>
      </c>
      <c r="D23" s="467">
        <v>7567</v>
      </c>
      <c r="E23" s="468">
        <v>7930</v>
      </c>
    </row>
    <row r="24" spans="1:5" ht="15" customHeight="1" x14ac:dyDescent="0.25">
      <c r="A24" s="464">
        <f t="shared" si="0"/>
        <v>14</v>
      </c>
      <c r="B24" s="465" t="s">
        <v>408</v>
      </c>
      <c r="C24" s="466" t="s">
        <v>508</v>
      </c>
      <c r="D24" s="424">
        <f>SUM(D19:D23)</f>
        <v>550189</v>
      </c>
      <c r="E24" s="425">
        <f>SUM(E19:E23)</f>
        <v>569314</v>
      </c>
    </row>
    <row r="25" spans="1:5" ht="15" customHeight="1" x14ac:dyDescent="0.25">
      <c r="A25" s="398">
        <f t="shared" si="0"/>
        <v>15</v>
      </c>
      <c r="B25" s="462">
        <v>10</v>
      </c>
      <c r="C25" s="463" t="s">
        <v>65</v>
      </c>
      <c r="D25" s="467">
        <v>886131</v>
      </c>
      <c r="E25" s="468">
        <v>913678</v>
      </c>
    </row>
    <row r="26" spans="1:5" ht="15" customHeight="1" x14ac:dyDescent="0.25">
      <c r="A26" s="398">
        <f t="shared" si="0"/>
        <v>16</v>
      </c>
      <c r="B26" s="462">
        <v>11</v>
      </c>
      <c r="C26" s="463" t="s">
        <v>46</v>
      </c>
      <c r="D26" s="467">
        <v>47130</v>
      </c>
      <c r="E26" s="468">
        <v>44233</v>
      </c>
    </row>
    <row r="27" spans="1:5" ht="15" customHeight="1" x14ac:dyDescent="0.25">
      <c r="A27" s="398">
        <f t="shared" si="0"/>
        <v>17</v>
      </c>
      <c r="B27" s="462">
        <v>12</v>
      </c>
      <c r="C27" s="463" t="s">
        <v>509</v>
      </c>
      <c r="D27" s="467">
        <v>238296</v>
      </c>
      <c r="E27" s="468">
        <v>246782</v>
      </c>
    </row>
    <row r="28" spans="1:5" ht="15" customHeight="1" x14ac:dyDescent="0.25">
      <c r="A28" s="464">
        <f t="shared" si="0"/>
        <v>18</v>
      </c>
      <c r="B28" s="465" t="s">
        <v>433</v>
      </c>
      <c r="C28" s="466" t="s">
        <v>510</v>
      </c>
      <c r="D28" s="471">
        <f>SUM(D25:D27)</f>
        <v>1171557</v>
      </c>
      <c r="E28" s="472">
        <f>SUM(E25:E27)</f>
        <v>1204693</v>
      </c>
    </row>
    <row r="29" spans="1:5" ht="15" customHeight="1" x14ac:dyDescent="0.25">
      <c r="A29" s="464">
        <f t="shared" si="0"/>
        <v>19</v>
      </c>
      <c r="B29" s="465" t="s">
        <v>435</v>
      </c>
      <c r="C29" s="466" t="s">
        <v>511</v>
      </c>
      <c r="D29" s="424">
        <v>84712</v>
      </c>
      <c r="E29" s="425">
        <v>128405</v>
      </c>
    </row>
    <row r="30" spans="1:5" ht="15" customHeight="1" x14ac:dyDescent="0.25">
      <c r="A30" s="464">
        <f t="shared" si="0"/>
        <v>20</v>
      </c>
      <c r="B30" s="465" t="s">
        <v>441</v>
      </c>
      <c r="C30" s="466" t="s">
        <v>512</v>
      </c>
      <c r="D30" s="424">
        <v>16240</v>
      </c>
      <c r="E30" s="425">
        <v>11664</v>
      </c>
    </row>
    <row r="31" spans="1:5" ht="15" customHeight="1" x14ac:dyDescent="0.25">
      <c r="A31" s="398">
        <f t="shared" si="0"/>
        <v>21</v>
      </c>
      <c r="B31" s="462"/>
      <c r="C31" s="463" t="s">
        <v>513</v>
      </c>
      <c r="D31" s="467"/>
      <c r="E31" s="468"/>
    </row>
    <row r="32" spans="1:5" ht="15" customHeight="1" x14ac:dyDescent="0.25">
      <c r="A32" s="464">
        <f t="shared" si="0"/>
        <v>22</v>
      </c>
      <c r="B32" s="473" t="s">
        <v>332</v>
      </c>
      <c r="C32" s="474" t="s">
        <v>514</v>
      </c>
      <c r="D32" s="475">
        <f>D11+D15-D24-D28-D29-D30</f>
        <v>-129664</v>
      </c>
      <c r="E32" s="476">
        <f>E11+E15-E24-E28-E29-E30</f>
        <v>-137259</v>
      </c>
    </row>
    <row r="33" spans="1:5" ht="15" customHeight="1" x14ac:dyDescent="0.25">
      <c r="A33" s="398">
        <f t="shared" si="0"/>
        <v>23</v>
      </c>
      <c r="B33" s="462">
        <v>13</v>
      </c>
      <c r="C33" s="463" t="s">
        <v>515</v>
      </c>
      <c r="D33" s="467"/>
      <c r="E33" s="468"/>
    </row>
    <row r="34" spans="1:5" ht="15" customHeight="1" x14ac:dyDescent="0.25">
      <c r="A34" s="398">
        <f t="shared" si="0"/>
        <v>24</v>
      </c>
      <c r="B34" s="462"/>
      <c r="C34" s="463" t="s">
        <v>516</v>
      </c>
      <c r="D34" s="467"/>
      <c r="E34" s="468"/>
    </row>
    <row r="35" spans="1:5" ht="15" customHeight="1" x14ac:dyDescent="0.25">
      <c r="A35" s="398">
        <f t="shared" si="0"/>
        <v>25</v>
      </c>
      <c r="B35" s="462">
        <v>14</v>
      </c>
      <c r="C35" s="463" t="s">
        <v>517</v>
      </c>
      <c r="D35" s="467"/>
      <c r="E35" s="468"/>
    </row>
    <row r="36" spans="1:5" ht="15" customHeight="1" x14ac:dyDescent="0.25">
      <c r="A36" s="398">
        <f t="shared" si="0"/>
        <v>26</v>
      </c>
      <c r="B36" s="462"/>
      <c r="C36" s="463" t="s">
        <v>516</v>
      </c>
      <c r="D36" s="467"/>
      <c r="E36" s="468"/>
    </row>
    <row r="37" spans="1:5" ht="15" customHeight="1" x14ac:dyDescent="0.25">
      <c r="A37" s="398">
        <f t="shared" si="0"/>
        <v>27</v>
      </c>
      <c r="B37" s="462">
        <v>15</v>
      </c>
      <c r="C37" s="463" t="s">
        <v>518</v>
      </c>
      <c r="D37" s="471"/>
      <c r="E37" s="472"/>
    </row>
    <row r="38" spans="1:5" ht="15" customHeight="1" x14ac:dyDescent="0.25">
      <c r="A38" s="398">
        <f t="shared" si="0"/>
        <v>28</v>
      </c>
      <c r="B38" s="462"/>
      <c r="C38" s="463" t="s">
        <v>516</v>
      </c>
      <c r="D38" s="471"/>
      <c r="E38" s="472"/>
    </row>
    <row r="39" spans="1:5" ht="15" customHeight="1" x14ac:dyDescent="0.25">
      <c r="A39" s="398">
        <f t="shared" si="0"/>
        <v>29</v>
      </c>
      <c r="B39" s="462">
        <v>16</v>
      </c>
      <c r="C39" s="463" t="s">
        <v>519</v>
      </c>
      <c r="D39" s="467">
        <v>1431</v>
      </c>
      <c r="E39" s="468">
        <v>159</v>
      </c>
    </row>
    <row r="40" spans="1:5" ht="15" customHeight="1" x14ac:dyDescent="0.25">
      <c r="A40" s="398">
        <f t="shared" si="0"/>
        <v>30</v>
      </c>
      <c r="B40" s="462"/>
      <c r="C40" s="463" t="s">
        <v>516</v>
      </c>
      <c r="D40" s="467"/>
      <c r="E40" s="468"/>
    </row>
    <row r="41" spans="1:5" ht="15" customHeight="1" x14ac:dyDescent="0.25">
      <c r="A41" s="398">
        <f t="shared" si="0"/>
        <v>31</v>
      </c>
      <c r="B41" s="462">
        <v>17</v>
      </c>
      <c r="C41" s="463" t="s">
        <v>520</v>
      </c>
      <c r="D41" s="467"/>
      <c r="E41" s="468"/>
    </row>
    <row r="42" spans="1:5" ht="15" customHeight="1" x14ac:dyDescent="0.25">
      <c r="A42" s="398">
        <f t="shared" si="0"/>
        <v>32</v>
      </c>
      <c r="B42" s="462"/>
      <c r="C42" s="399" t="s">
        <v>521</v>
      </c>
      <c r="D42" s="467"/>
      <c r="E42" s="468"/>
    </row>
    <row r="43" spans="1:5" ht="15" customHeight="1" x14ac:dyDescent="0.25">
      <c r="A43" s="464">
        <f t="shared" si="0"/>
        <v>33</v>
      </c>
      <c r="B43" s="465" t="s">
        <v>522</v>
      </c>
      <c r="C43" s="466" t="s">
        <v>523</v>
      </c>
      <c r="D43" s="424">
        <f>SUM(D33,D35,D37,D39,D41)</f>
        <v>1431</v>
      </c>
      <c r="E43" s="425">
        <f>SUM(E33,E35,E37,E39,E41)</f>
        <v>159</v>
      </c>
    </row>
    <row r="44" spans="1:5" ht="15" customHeight="1" x14ac:dyDescent="0.25">
      <c r="A44" s="398">
        <f t="shared" si="0"/>
        <v>34</v>
      </c>
      <c r="B44" s="462">
        <v>18</v>
      </c>
      <c r="C44" s="463" t="s">
        <v>524</v>
      </c>
      <c r="D44" s="467"/>
      <c r="E44" s="468"/>
    </row>
    <row r="45" spans="1:5" ht="15" customHeight="1" x14ac:dyDescent="0.25">
      <c r="A45" s="398">
        <f t="shared" si="0"/>
        <v>35</v>
      </c>
      <c r="B45" s="462"/>
      <c r="C45" s="463" t="s">
        <v>525</v>
      </c>
      <c r="D45" s="471"/>
      <c r="E45" s="472"/>
    </row>
    <row r="46" spans="1:5" ht="15" customHeight="1" x14ac:dyDescent="0.25">
      <c r="A46" s="398">
        <f t="shared" si="0"/>
        <v>36</v>
      </c>
      <c r="B46" s="462">
        <v>19</v>
      </c>
      <c r="C46" s="463" t="s">
        <v>526</v>
      </c>
      <c r="D46" s="467"/>
      <c r="E46" s="468"/>
    </row>
    <row r="47" spans="1:5" ht="15" customHeight="1" x14ac:dyDescent="0.25">
      <c r="A47" s="398">
        <f t="shared" si="0"/>
        <v>37</v>
      </c>
      <c r="B47" s="462"/>
      <c r="C47" s="463" t="s">
        <v>525</v>
      </c>
      <c r="D47" s="467"/>
      <c r="E47" s="468"/>
    </row>
    <row r="48" spans="1:5" ht="15" customHeight="1" x14ac:dyDescent="0.25">
      <c r="A48" s="398">
        <f t="shared" si="0"/>
        <v>38</v>
      </c>
      <c r="B48" s="462">
        <v>20</v>
      </c>
      <c r="C48" s="463" t="s">
        <v>527</v>
      </c>
      <c r="D48" s="467"/>
      <c r="E48" s="468"/>
    </row>
    <row r="49" spans="1:5" ht="15" customHeight="1" x14ac:dyDescent="0.25">
      <c r="A49" s="398">
        <f t="shared" si="0"/>
        <v>39</v>
      </c>
      <c r="B49" s="462">
        <v>21</v>
      </c>
      <c r="C49" s="463" t="s">
        <v>528</v>
      </c>
      <c r="D49" s="467"/>
      <c r="E49" s="468"/>
    </row>
    <row r="50" spans="1:5" ht="15" customHeight="1" x14ac:dyDescent="0.25">
      <c r="A50" s="398">
        <f t="shared" si="0"/>
        <v>40</v>
      </c>
      <c r="B50" s="462"/>
      <c r="C50" s="399" t="s">
        <v>521</v>
      </c>
      <c r="D50" s="467"/>
      <c r="E50" s="468"/>
    </row>
    <row r="51" spans="1:5" ht="15" customHeight="1" x14ac:dyDescent="0.25">
      <c r="A51" s="464">
        <f t="shared" si="0"/>
        <v>41</v>
      </c>
      <c r="B51" s="465" t="s">
        <v>529</v>
      </c>
      <c r="C51" s="466" t="s">
        <v>530</v>
      </c>
      <c r="D51" s="424">
        <f>SUM(D44,D46,D48,D49)</f>
        <v>0</v>
      </c>
      <c r="E51" s="425">
        <f>SUM(E44,E46,E48,E49)</f>
        <v>0</v>
      </c>
    </row>
    <row r="52" spans="1:5" ht="15" customHeight="1" x14ac:dyDescent="0.25">
      <c r="A52" s="398">
        <f t="shared" si="0"/>
        <v>42</v>
      </c>
      <c r="B52" s="473" t="s">
        <v>384</v>
      </c>
      <c r="C52" s="474" t="s">
        <v>531</v>
      </c>
      <c r="D52" s="467">
        <f>D43-D51</f>
        <v>1431</v>
      </c>
      <c r="E52" s="468">
        <f>E43-E51</f>
        <v>159</v>
      </c>
    </row>
    <row r="53" spans="1:5" ht="15" customHeight="1" x14ac:dyDescent="0.25">
      <c r="A53" s="398">
        <f t="shared" si="0"/>
        <v>43</v>
      </c>
      <c r="B53" s="473" t="s">
        <v>414</v>
      </c>
      <c r="C53" s="474" t="s">
        <v>532</v>
      </c>
      <c r="D53" s="460">
        <f>SUM(D32+D52)</f>
        <v>-128233</v>
      </c>
      <c r="E53" s="461">
        <f>SUM(E32+E52)</f>
        <v>-137100</v>
      </c>
    </row>
    <row r="54" spans="1:5" ht="15" customHeight="1" x14ac:dyDescent="0.25">
      <c r="A54" s="464">
        <f t="shared" si="0"/>
        <v>44</v>
      </c>
      <c r="B54" s="465" t="s">
        <v>533</v>
      </c>
      <c r="C54" s="466" t="s">
        <v>534</v>
      </c>
      <c r="D54" s="467">
        <v>54821</v>
      </c>
      <c r="E54" s="468">
        <v>95722</v>
      </c>
    </row>
    <row r="55" spans="1:5" ht="15" customHeight="1" x14ac:dyDescent="0.25">
      <c r="A55" s="464">
        <f t="shared" si="0"/>
        <v>45</v>
      </c>
      <c r="B55" s="465" t="s">
        <v>535</v>
      </c>
      <c r="C55" s="466" t="s">
        <v>536</v>
      </c>
      <c r="D55" s="467">
        <v>23571</v>
      </c>
      <c r="E55" s="468"/>
    </row>
    <row r="56" spans="1:5" ht="15" customHeight="1" x14ac:dyDescent="0.25">
      <c r="A56" s="398">
        <f t="shared" si="0"/>
        <v>46</v>
      </c>
      <c r="B56" s="473" t="s">
        <v>537</v>
      </c>
      <c r="C56" s="474" t="s">
        <v>538</v>
      </c>
      <c r="D56" s="467">
        <f>D54-D55</f>
        <v>31250</v>
      </c>
      <c r="E56" s="468">
        <f>E54-E55</f>
        <v>95722</v>
      </c>
    </row>
    <row r="57" spans="1:5" ht="15" customHeight="1" x14ac:dyDescent="0.25">
      <c r="A57" s="398">
        <f t="shared" si="0"/>
        <v>47</v>
      </c>
      <c r="B57" s="473" t="s">
        <v>539</v>
      </c>
      <c r="C57" s="474" t="s">
        <v>540</v>
      </c>
      <c r="D57" s="467">
        <f>D53+D56</f>
        <v>-96983</v>
      </c>
      <c r="E57" s="468">
        <f>E53+E56</f>
        <v>-41378</v>
      </c>
    </row>
    <row r="58" spans="1:5" ht="15" customHeight="1" x14ac:dyDescent="0.25">
      <c r="A58" s="464">
        <f t="shared" si="0"/>
        <v>48</v>
      </c>
      <c r="B58" s="465" t="s">
        <v>541</v>
      </c>
      <c r="C58" s="466" t="s">
        <v>542</v>
      </c>
      <c r="D58" s="467"/>
      <c r="E58" s="468"/>
    </row>
    <row r="59" spans="1:5" ht="15" customHeight="1" x14ac:dyDescent="0.25">
      <c r="A59" s="398">
        <f t="shared" si="0"/>
        <v>49</v>
      </c>
      <c r="B59" s="473" t="s">
        <v>543</v>
      </c>
      <c r="C59" s="474" t="s">
        <v>544</v>
      </c>
      <c r="D59" s="471">
        <f>D57-D58</f>
        <v>-96983</v>
      </c>
      <c r="E59" s="472">
        <f>E57-E58</f>
        <v>-41378</v>
      </c>
    </row>
    <row r="60" spans="1:5" ht="15" customHeight="1" x14ac:dyDescent="0.25">
      <c r="A60" s="398">
        <f t="shared" si="0"/>
        <v>50</v>
      </c>
      <c r="B60" s="462">
        <v>22</v>
      </c>
      <c r="C60" s="463" t="s">
        <v>545</v>
      </c>
      <c r="D60" s="467"/>
      <c r="E60" s="468"/>
    </row>
    <row r="61" spans="1:5" ht="15" customHeight="1" x14ac:dyDescent="0.25">
      <c r="A61" s="398">
        <f t="shared" si="0"/>
        <v>51</v>
      </c>
      <c r="B61" s="462">
        <v>23</v>
      </c>
      <c r="C61" s="463" t="s">
        <v>546</v>
      </c>
      <c r="D61" s="467"/>
      <c r="E61" s="468"/>
    </row>
    <row r="62" spans="1:5" ht="15" customHeight="1" thickBot="1" x14ac:dyDescent="0.3">
      <c r="A62" s="477">
        <f t="shared" si="0"/>
        <v>52</v>
      </c>
      <c r="B62" s="478" t="s">
        <v>547</v>
      </c>
      <c r="C62" s="479" t="s">
        <v>442</v>
      </c>
      <c r="D62" s="480">
        <f>D59+D60+D61</f>
        <v>-96983</v>
      </c>
      <c r="E62" s="481">
        <f>E59+E60+E61</f>
        <v>-41378</v>
      </c>
    </row>
    <row r="63" spans="1:5" x14ac:dyDescent="0.25">
      <c r="A63" s="450"/>
      <c r="B63" s="441"/>
      <c r="C63" s="441"/>
      <c r="D63" s="482"/>
      <c r="E63" s="482"/>
    </row>
    <row r="64" spans="1:5" x14ac:dyDescent="0.25">
      <c r="A64" s="450"/>
      <c r="B64" s="441"/>
      <c r="C64" s="441"/>
      <c r="D64" s="482"/>
      <c r="E64" s="482"/>
    </row>
    <row r="65" spans="1:5" x14ac:dyDescent="0.25">
      <c r="A65" s="450"/>
      <c r="B65" s="441"/>
      <c r="C65" s="441"/>
      <c r="D65" s="482"/>
      <c r="E65" s="482"/>
    </row>
    <row r="66" spans="1:5" x14ac:dyDescent="0.25">
      <c r="A66" s="448"/>
      <c r="B66" s="448"/>
      <c r="C66" s="449"/>
      <c r="D66" s="483"/>
      <c r="E66" s="483"/>
    </row>
  </sheetData>
  <mergeCells count="3">
    <mergeCell ref="A3:E3"/>
    <mergeCell ref="A4:E4"/>
    <mergeCell ref="A5:E5"/>
  </mergeCells>
  <printOptions horizontalCentered="1"/>
  <pageMargins left="0.27559055118110237" right="0.27559055118110237" top="0.39370078740157483" bottom="3.937007874015748E-2" header="0.11811023622047245" footer="0.23622047244094491"/>
  <pageSetup paperSize="9" scale="89" orientation="portrait" r:id="rId1"/>
  <headerFooter alignWithMargins="0">
    <oddHeader>&amp;R&amp;8 12. melléklet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3"/>
  <sheetViews>
    <sheetView topLeftCell="A20" workbookViewId="0"/>
  </sheetViews>
  <sheetFormatPr defaultRowHeight="15" x14ac:dyDescent="0.25"/>
  <cols>
    <col min="1" max="2" width="9.140625" style="485"/>
    <col min="3" max="3" width="11.85546875" style="485" customWidth="1"/>
    <col min="4" max="4" width="4.140625" style="485" customWidth="1"/>
    <col min="5" max="5" width="17.140625" style="485" customWidth="1"/>
    <col min="6" max="6" width="15.140625" style="485" customWidth="1"/>
    <col min="7" max="7" width="12.28515625" style="485" customWidth="1"/>
    <col min="8" max="258" width="9.140625" style="485"/>
    <col min="259" max="259" width="11.85546875" style="485" customWidth="1"/>
    <col min="260" max="260" width="4.140625" style="485" customWidth="1"/>
    <col min="261" max="261" width="17.140625" style="485" customWidth="1"/>
    <col min="262" max="262" width="15.140625" style="485" customWidth="1"/>
    <col min="263" max="263" width="12.28515625" style="485" customWidth="1"/>
    <col min="264" max="514" width="9.140625" style="485"/>
    <col min="515" max="515" width="11.85546875" style="485" customWidth="1"/>
    <col min="516" max="516" width="4.140625" style="485" customWidth="1"/>
    <col min="517" max="517" width="17.140625" style="485" customWidth="1"/>
    <col min="518" max="518" width="15.140625" style="485" customWidth="1"/>
    <col min="519" max="519" width="12.28515625" style="485" customWidth="1"/>
    <col min="520" max="770" width="9.140625" style="485"/>
    <col min="771" max="771" width="11.85546875" style="485" customWidth="1"/>
    <col min="772" max="772" width="4.140625" style="485" customWidth="1"/>
    <col min="773" max="773" width="17.140625" style="485" customWidth="1"/>
    <col min="774" max="774" width="15.140625" style="485" customWidth="1"/>
    <col min="775" max="775" width="12.28515625" style="485" customWidth="1"/>
    <col min="776" max="1026" width="9.140625" style="485"/>
    <col min="1027" max="1027" width="11.85546875" style="485" customWidth="1"/>
    <col min="1028" max="1028" width="4.140625" style="485" customWidth="1"/>
    <col min="1029" max="1029" width="17.140625" style="485" customWidth="1"/>
    <col min="1030" max="1030" width="15.140625" style="485" customWidth="1"/>
    <col min="1031" max="1031" width="12.28515625" style="485" customWidth="1"/>
    <col min="1032" max="1282" width="9.140625" style="485"/>
    <col min="1283" max="1283" width="11.85546875" style="485" customWidth="1"/>
    <col min="1284" max="1284" width="4.140625" style="485" customWidth="1"/>
    <col min="1285" max="1285" width="17.140625" style="485" customWidth="1"/>
    <col min="1286" max="1286" width="15.140625" style="485" customWidth="1"/>
    <col min="1287" max="1287" width="12.28515625" style="485" customWidth="1"/>
    <col min="1288" max="1538" width="9.140625" style="485"/>
    <col min="1539" max="1539" width="11.85546875" style="485" customWidth="1"/>
    <col min="1540" max="1540" width="4.140625" style="485" customWidth="1"/>
    <col min="1541" max="1541" width="17.140625" style="485" customWidth="1"/>
    <col min="1542" max="1542" width="15.140625" style="485" customWidth="1"/>
    <col min="1543" max="1543" width="12.28515625" style="485" customWidth="1"/>
    <col min="1544" max="1794" width="9.140625" style="485"/>
    <col min="1795" max="1795" width="11.85546875" style="485" customWidth="1"/>
    <col min="1796" max="1796" width="4.140625" style="485" customWidth="1"/>
    <col min="1797" max="1797" width="17.140625" style="485" customWidth="1"/>
    <col min="1798" max="1798" width="15.140625" style="485" customWidth="1"/>
    <col min="1799" max="1799" width="12.28515625" style="485" customWidth="1"/>
    <col min="1800" max="2050" width="9.140625" style="485"/>
    <col min="2051" max="2051" width="11.85546875" style="485" customWidth="1"/>
    <col min="2052" max="2052" width="4.140625" style="485" customWidth="1"/>
    <col min="2053" max="2053" width="17.140625" style="485" customWidth="1"/>
    <col min="2054" max="2054" width="15.140625" style="485" customWidth="1"/>
    <col min="2055" max="2055" width="12.28515625" style="485" customWidth="1"/>
    <col min="2056" max="2306" width="9.140625" style="485"/>
    <col min="2307" max="2307" width="11.85546875" style="485" customWidth="1"/>
    <col min="2308" max="2308" width="4.140625" style="485" customWidth="1"/>
    <col min="2309" max="2309" width="17.140625" style="485" customWidth="1"/>
    <col min="2310" max="2310" width="15.140625" style="485" customWidth="1"/>
    <col min="2311" max="2311" width="12.28515625" style="485" customWidth="1"/>
    <col min="2312" max="2562" width="9.140625" style="485"/>
    <col min="2563" max="2563" width="11.85546875" style="485" customWidth="1"/>
    <col min="2564" max="2564" width="4.140625" style="485" customWidth="1"/>
    <col min="2565" max="2565" width="17.140625" style="485" customWidth="1"/>
    <col min="2566" max="2566" width="15.140625" style="485" customWidth="1"/>
    <col min="2567" max="2567" width="12.28515625" style="485" customWidth="1"/>
    <col min="2568" max="2818" width="9.140625" style="485"/>
    <col min="2819" max="2819" width="11.85546875" style="485" customWidth="1"/>
    <col min="2820" max="2820" width="4.140625" style="485" customWidth="1"/>
    <col min="2821" max="2821" width="17.140625" style="485" customWidth="1"/>
    <col min="2822" max="2822" width="15.140625" style="485" customWidth="1"/>
    <col min="2823" max="2823" width="12.28515625" style="485" customWidth="1"/>
    <col min="2824" max="3074" width="9.140625" style="485"/>
    <col min="3075" max="3075" width="11.85546875" style="485" customWidth="1"/>
    <col min="3076" max="3076" width="4.140625" style="485" customWidth="1"/>
    <col min="3077" max="3077" width="17.140625" style="485" customWidth="1"/>
    <col min="3078" max="3078" width="15.140625" style="485" customWidth="1"/>
    <col min="3079" max="3079" width="12.28515625" style="485" customWidth="1"/>
    <col min="3080" max="3330" width="9.140625" style="485"/>
    <col min="3331" max="3331" width="11.85546875" style="485" customWidth="1"/>
    <col min="3332" max="3332" width="4.140625" style="485" customWidth="1"/>
    <col min="3333" max="3333" width="17.140625" style="485" customWidth="1"/>
    <col min="3334" max="3334" width="15.140625" style="485" customWidth="1"/>
    <col min="3335" max="3335" width="12.28515625" style="485" customWidth="1"/>
    <col min="3336" max="3586" width="9.140625" style="485"/>
    <col min="3587" max="3587" width="11.85546875" style="485" customWidth="1"/>
    <col min="3588" max="3588" width="4.140625" style="485" customWidth="1"/>
    <col min="3589" max="3589" width="17.140625" style="485" customWidth="1"/>
    <col min="3590" max="3590" width="15.140625" style="485" customWidth="1"/>
    <col min="3591" max="3591" width="12.28515625" style="485" customWidth="1"/>
    <col min="3592" max="3842" width="9.140625" style="485"/>
    <col min="3843" max="3843" width="11.85546875" style="485" customWidth="1"/>
    <col min="3844" max="3844" width="4.140625" style="485" customWidth="1"/>
    <col min="3845" max="3845" width="17.140625" style="485" customWidth="1"/>
    <col min="3846" max="3846" width="15.140625" style="485" customWidth="1"/>
    <col min="3847" max="3847" width="12.28515625" style="485" customWidth="1"/>
    <col min="3848" max="4098" width="9.140625" style="485"/>
    <col min="4099" max="4099" width="11.85546875" style="485" customWidth="1"/>
    <col min="4100" max="4100" width="4.140625" style="485" customWidth="1"/>
    <col min="4101" max="4101" width="17.140625" style="485" customWidth="1"/>
    <col min="4102" max="4102" width="15.140625" style="485" customWidth="1"/>
    <col min="4103" max="4103" width="12.28515625" style="485" customWidth="1"/>
    <col min="4104" max="4354" width="9.140625" style="485"/>
    <col min="4355" max="4355" width="11.85546875" style="485" customWidth="1"/>
    <col min="4356" max="4356" width="4.140625" style="485" customWidth="1"/>
    <col min="4357" max="4357" width="17.140625" style="485" customWidth="1"/>
    <col min="4358" max="4358" width="15.140625" style="485" customWidth="1"/>
    <col min="4359" max="4359" width="12.28515625" style="485" customWidth="1"/>
    <col min="4360" max="4610" width="9.140625" style="485"/>
    <col min="4611" max="4611" width="11.85546875" style="485" customWidth="1"/>
    <col min="4612" max="4612" width="4.140625" style="485" customWidth="1"/>
    <col min="4613" max="4613" width="17.140625" style="485" customWidth="1"/>
    <col min="4614" max="4614" width="15.140625" style="485" customWidth="1"/>
    <col min="4615" max="4615" width="12.28515625" style="485" customWidth="1"/>
    <col min="4616" max="4866" width="9.140625" style="485"/>
    <col min="4867" max="4867" width="11.85546875" style="485" customWidth="1"/>
    <col min="4868" max="4868" width="4.140625" style="485" customWidth="1"/>
    <col min="4869" max="4869" width="17.140625" style="485" customWidth="1"/>
    <col min="4870" max="4870" width="15.140625" style="485" customWidth="1"/>
    <col min="4871" max="4871" width="12.28515625" style="485" customWidth="1"/>
    <col min="4872" max="5122" width="9.140625" style="485"/>
    <col min="5123" max="5123" width="11.85546875" style="485" customWidth="1"/>
    <col min="5124" max="5124" width="4.140625" style="485" customWidth="1"/>
    <col min="5125" max="5125" width="17.140625" style="485" customWidth="1"/>
    <col min="5126" max="5126" width="15.140625" style="485" customWidth="1"/>
    <col min="5127" max="5127" width="12.28515625" style="485" customWidth="1"/>
    <col min="5128" max="5378" width="9.140625" style="485"/>
    <col min="5379" max="5379" width="11.85546875" style="485" customWidth="1"/>
    <col min="5380" max="5380" width="4.140625" style="485" customWidth="1"/>
    <col min="5381" max="5381" width="17.140625" style="485" customWidth="1"/>
    <col min="5382" max="5382" width="15.140625" style="485" customWidth="1"/>
    <col min="5383" max="5383" width="12.28515625" style="485" customWidth="1"/>
    <col min="5384" max="5634" width="9.140625" style="485"/>
    <col min="5635" max="5635" width="11.85546875" style="485" customWidth="1"/>
    <col min="5636" max="5636" width="4.140625" style="485" customWidth="1"/>
    <col min="5637" max="5637" width="17.140625" style="485" customWidth="1"/>
    <col min="5638" max="5638" width="15.140625" style="485" customWidth="1"/>
    <col min="5639" max="5639" width="12.28515625" style="485" customWidth="1"/>
    <col min="5640" max="5890" width="9.140625" style="485"/>
    <col min="5891" max="5891" width="11.85546875" style="485" customWidth="1"/>
    <col min="5892" max="5892" width="4.140625" style="485" customWidth="1"/>
    <col min="5893" max="5893" width="17.140625" style="485" customWidth="1"/>
    <col min="5894" max="5894" width="15.140625" style="485" customWidth="1"/>
    <col min="5895" max="5895" width="12.28515625" style="485" customWidth="1"/>
    <col min="5896" max="6146" width="9.140625" style="485"/>
    <col min="6147" max="6147" width="11.85546875" style="485" customWidth="1"/>
    <col min="6148" max="6148" width="4.140625" style="485" customWidth="1"/>
    <col min="6149" max="6149" width="17.140625" style="485" customWidth="1"/>
    <col min="6150" max="6150" width="15.140625" style="485" customWidth="1"/>
    <col min="6151" max="6151" width="12.28515625" style="485" customWidth="1"/>
    <col min="6152" max="6402" width="9.140625" style="485"/>
    <col min="6403" max="6403" width="11.85546875" style="485" customWidth="1"/>
    <col min="6404" max="6404" width="4.140625" style="485" customWidth="1"/>
    <col min="6405" max="6405" width="17.140625" style="485" customWidth="1"/>
    <col min="6406" max="6406" width="15.140625" style="485" customWidth="1"/>
    <col min="6407" max="6407" width="12.28515625" style="485" customWidth="1"/>
    <col min="6408" max="6658" width="9.140625" style="485"/>
    <col min="6659" max="6659" width="11.85546875" style="485" customWidth="1"/>
    <col min="6660" max="6660" width="4.140625" style="485" customWidth="1"/>
    <col min="6661" max="6661" width="17.140625" style="485" customWidth="1"/>
    <col min="6662" max="6662" width="15.140625" style="485" customWidth="1"/>
    <col min="6663" max="6663" width="12.28515625" style="485" customWidth="1"/>
    <col min="6664" max="6914" width="9.140625" style="485"/>
    <col min="6915" max="6915" width="11.85546875" style="485" customWidth="1"/>
    <col min="6916" max="6916" width="4.140625" style="485" customWidth="1"/>
    <col min="6917" max="6917" width="17.140625" style="485" customWidth="1"/>
    <col min="6918" max="6918" width="15.140625" style="485" customWidth="1"/>
    <col min="6919" max="6919" width="12.28515625" style="485" customWidth="1"/>
    <col min="6920" max="7170" width="9.140625" style="485"/>
    <col min="7171" max="7171" width="11.85546875" style="485" customWidth="1"/>
    <col min="7172" max="7172" width="4.140625" style="485" customWidth="1"/>
    <col min="7173" max="7173" width="17.140625" style="485" customWidth="1"/>
    <col min="7174" max="7174" width="15.140625" style="485" customWidth="1"/>
    <col min="7175" max="7175" width="12.28515625" style="485" customWidth="1"/>
    <col min="7176" max="7426" width="9.140625" style="485"/>
    <col min="7427" max="7427" width="11.85546875" style="485" customWidth="1"/>
    <col min="7428" max="7428" width="4.140625" style="485" customWidth="1"/>
    <col min="7429" max="7429" width="17.140625" style="485" customWidth="1"/>
    <col min="7430" max="7430" width="15.140625" style="485" customWidth="1"/>
    <col min="7431" max="7431" width="12.28515625" style="485" customWidth="1"/>
    <col min="7432" max="7682" width="9.140625" style="485"/>
    <col min="7683" max="7683" width="11.85546875" style="485" customWidth="1"/>
    <col min="7684" max="7684" width="4.140625" style="485" customWidth="1"/>
    <col min="7685" max="7685" width="17.140625" style="485" customWidth="1"/>
    <col min="7686" max="7686" width="15.140625" style="485" customWidth="1"/>
    <col min="7687" max="7687" width="12.28515625" style="485" customWidth="1"/>
    <col min="7688" max="7938" width="9.140625" style="485"/>
    <col min="7939" max="7939" width="11.85546875" style="485" customWidth="1"/>
    <col min="7940" max="7940" width="4.140625" style="485" customWidth="1"/>
    <col min="7941" max="7941" width="17.140625" style="485" customWidth="1"/>
    <col min="7942" max="7942" width="15.140625" style="485" customWidth="1"/>
    <col min="7943" max="7943" width="12.28515625" style="485" customWidth="1"/>
    <col min="7944" max="8194" width="9.140625" style="485"/>
    <col min="8195" max="8195" width="11.85546875" style="485" customWidth="1"/>
    <col min="8196" max="8196" width="4.140625" style="485" customWidth="1"/>
    <col min="8197" max="8197" width="17.140625" style="485" customWidth="1"/>
    <col min="8198" max="8198" width="15.140625" style="485" customWidth="1"/>
    <col min="8199" max="8199" width="12.28515625" style="485" customWidth="1"/>
    <col min="8200" max="8450" width="9.140625" style="485"/>
    <col min="8451" max="8451" width="11.85546875" style="485" customWidth="1"/>
    <col min="8452" max="8452" width="4.140625" style="485" customWidth="1"/>
    <col min="8453" max="8453" width="17.140625" style="485" customWidth="1"/>
    <col min="8454" max="8454" width="15.140625" style="485" customWidth="1"/>
    <col min="8455" max="8455" width="12.28515625" style="485" customWidth="1"/>
    <col min="8456" max="8706" width="9.140625" style="485"/>
    <col min="8707" max="8707" width="11.85546875" style="485" customWidth="1"/>
    <col min="8708" max="8708" width="4.140625" style="485" customWidth="1"/>
    <col min="8709" max="8709" width="17.140625" style="485" customWidth="1"/>
    <col min="8710" max="8710" width="15.140625" style="485" customWidth="1"/>
    <col min="8711" max="8711" width="12.28515625" style="485" customWidth="1"/>
    <col min="8712" max="8962" width="9.140625" style="485"/>
    <col min="8963" max="8963" width="11.85546875" style="485" customWidth="1"/>
    <col min="8964" max="8964" width="4.140625" style="485" customWidth="1"/>
    <col min="8965" max="8965" width="17.140625" style="485" customWidth="1"/>
    <col min="8966" max="8966" width="15.140625" style="485" customWidth="1"/>
    <col min="8967" max="8967" width="12.28515625" style="485" customWidth="1"/>
    <col min="8968" max="9218" width="9.140625" style="485"/>
    <col min="9219" max="9219" width="11.85546875" style="485" customWidth="1"/>
    <col min="9220" max="9220" width="4.140625" style="485" customWidth="1"/>
    <col min="9221" max="9221" width="17.140625" style="485" customWidth="1"/>
    <col min="9222" max="9222" width="15.140625" style="485" customWidth="1"/>
    <col min="9223" max="9223" width="12.28515625" style="485" customWidth="1"/>
    <col min="9224" max="9474" width="9.140625" style="485"/>
    <col min="9475" max="9475" width="11.85546875" style="485" customWidth="1"/>
    <col min="9476" max="9476" width="4.140625" style="485" customWidth="1"/>
    <col min="9477" max="9477" width="17.140625" style="485" customWidth="1"/>
    <col min="9478" max="9478" width="15.140625" style="485" customWidth="1"/>
    <col min="9479" max="9479" width="12.28515625" style="485" customWidth="1"/>
    <col min="9480" max="9730" width="9.140625" style="485"/>
    <col min="9731" max="9731" width="11.85546875" style="485" customWidth="1"/>
    <col min="9732" max="9732" width="4.140625" style="485" customWidth="1"/>
    <col min="9733" max="9733" width="17.140625" style="485" customWidth="1"/>
    <col min="9734" max="9734" width="15.140625" style="485" customWidth="1"/>
    <col min="9735" max="9735" width="12.28515625" style="485" customWidth="1"/>
    <col min="9736" max="9986" width="9.140625" style="485"/>
    <col min="9987" max="9987" width="11.85546875" style="485" customWidth="1"/>
    <col min="9988" max="9988" width="4.140625" style="485" customWidth="1"/>
    <col min="9989" max="9989" width="17.140625" style="485" customWidth="1"/>
    <col min="9990" max="9990" width="15.140625" style="485" customWidth="1"/>
    <col min="9991" max="9991" width="12.28515625" style="485" customWidth="1"/>
    <col min="9992" max="10242" width="9.140625" style="485"/>
    <col min="10243" max="10243" width="11.85546875" style="485" customWidth="1"/>
    <col min="10244" max="10244" width="4.140625" style="485" customWidth="1"/>
    <col min="10245" max="10245" width="17.140625" style="485" customWidth="1"/>
    <col min="10246" max="10246" width="15.140625" style="485" customWidth="1"/>
    <col min="10247" max="10247" width="12.28515625" style="485" customWidth="1"/>
    <col min="10248" max="10498" width="9.140625" style="485"/>
    <col min="10499" max="10499" width="11.85546875" style="485" customWidth="1"/>
    <col min="10500" max="10500" width="4.140625" style="485" customWidth="1"/>
    <col min="10501" max="10501" width="17.140625" style="485" customWidth="1"/>
    <col min="10502" max="10502" width="15.140625" style="485" customWidth="1"/>
    <col min="10503" max="10503" width="12.28515625" style="485" customWidth="1"/>
    <col min="10504" max="10754" width="9.140625" style="485"/>
    <col min="10755" max="10755" width="11.85546875" style="485" customWidth="1"/>
    <col min="10756" max="10756" width="4.140625" style="485" customWidth="1"/>
    <col min="10757" max="10757" width="17.140625" style="485" customWidth="1"/>
    <col min="10758" max="10758" width="15.140625" style="485" customWidth="1"/>
    <col min="10759" max="10759" width="12.28515625" style="485" customWidth="1"/>
    <col min="10760" max="11010" width="9.140625" style="485"/>
    <col min="11011" max="11011" width="11.85546875" style="485" customWidth="1"/>
    <col min="11012" max="11012" width="4.140625" style="485" customWidth="1"/>
    <col min="11013" max="11013" width="17.140625" style="485" customWidth="1"/>
    <col min="11014" max="11014" width="15.140625" style="485" customWidth="1"/>
    <col min="11015" max="11015" width="12.28515625" style="485" customWidth="1"/>
    <col min="11016" max="11266" width="9.140625" style="485"/>
    <col min="11267" max="11267" width="11.85546875" style="485" customWidth="1"/>
    <col min="11268" max="11268" width="4.140625" style="485" customWidth="1"/>
    <col min="11269" max="11269" width="17.140625" style="485" customWidth="1"/>
    <col min="11270" max="11270" width="15.140625" style="485" customWidth="1"/>
    <col min="11271" max="11271" width="12.28515625" style="485" customWidth="1"/>
    <col min="11272" max="11522" width="9.140625" style="485"/>
    <col min="11523" max="11523" width="11.85546875" style="485" customWidth="1"/>
    <col min="11524" max="11524" width="4.140625" style="485" customWidth="1"/>
    <col min="11525" max="11525" width="17.140625" style="485" customWidth="1"/>
    <col min="11526" max="11526" width="15.140625" style="485" customWidth="1"/>
    <col min="11527" max="11527" width="12.28515625" style="485" customWidth="1"/>
    <col min="11528" max="11778" width="9.140625" style="485"/>
    <col min="11779" max="11779" width="11.85546875" style="485" customWidth="1"/>
    <col min="11780" max="11780" width="4.140625" style="485" customWidth="1"/>
    <col min="11781" max="11781" width="17.140625" style="485" customWidth="1"/>
    <col min="11782" max="11782" width="15.140625" style="485" customWidth="1"/>
    <col min="11783" max="11783" width="12.28515625" style="485" customWidth="1"/>
    <col min="11784" max="12034" width="9.140625" style="485"/>
    <col min="12035" max="12035" width="11.85546875" style="485" customWidth="1"/>
    <col min="12036" max="12036" width="4.140625" style="485" customWidth="1"/>
    <col min="12037" max="12037" width="17.140625" style="485" customWidth="1"/>
    <col min="12038" max="12038" width="15.140625" style="485" customWidth="1"/>
    <col min="12039" max="12039" width="12.28515625" style="485" customWidth="1"/>
    <col min="12040" max="12290" width="9.140625" style="485"/>
    <col min="12291" max="12291" width="11.85546875" style="485" customWidth="1"/>
    <col min="12292" max="12292" width="4.140625" style="485" customWidth="1"/>
    <col min="12293" max="12293" width="17.140625" style="485" customWidth="1"/>
    <col min="12294" max="12294" width="15.140625" style="485" customWidth="1"/>
    <col min="12295" max="12295" width="12.28515625" style="485" customWidth="1"/>
    <col min="12296" max="12546" width="9.140625" style="485"/>
    <col min="12547" max="12547" width="11.85546875" style="485" customWidth="1"/>
    <col min="12548" max="12548" width="4.140625" style="485" customWidth="1"/>
    <col min="12549" max="12549" width="17.140625" style="485" customWidth="1"/>
    <col min="12550" max="12550" width="15.140625" style="485" customWidth="1"/>
    <col min="12551" max="12551" width="12.28515625" style="485" customWidth="1"/>
    <col min="12552" max="12802" width="9.140625" style="485"/>
    <col min="12803" max="12803" width="11.85546875" style="485" customWidth="1"/>
    <col min="12804" max="12804" width="4.140625" style="485" customWidth="1"/>
    <col min="12805" max="12805" width="17.140625" style="485" customWidth="1"/>
    <col min="12806" max="12806" width="15.140625" style="485" customWidth="1"/>
    <col min="12807" max="12807" width="12.28515625" style="485" customWidth="1"/>
    <col min="12808" max="13058" width="9.140625" style="485"/>
    <col min="13059" max="13059" width="11.85546875" style="485" customWidth="1"/>
    <col min="13060" max="13060" width="4.140625" style="485" customWidth="1"/>
    <col min="13061" max="13061" width="17.140625" style="485" customWidth="1"/>
    <col min="13062" max="13062" width="15.140625" style="485" customWidth="1"/>
    <col min="13063" max="13063" width="12.28515625" style="485" customWidth="1"/>
    <col min="13064" max="13314" width="9.140625" style="485"/>
    <col min="13315" max="13315" width="11.85546875" style="485" customWidth="1"/>
    <col min="13316" max="13316" width="4.140625" style="485" customWidth="1"/>
    <col min="13317" max="13317" width="17.140625" style="485" customWidth="1"/>
    <col min="13318" max="13318" width="15.140625" style="485" customWidth="1"/>
    <col min="13319" max="13319" width="12.28515625" style="485" customWidth="1"/>
    <col min="13320" max="13570" width="9.140625" style="485"/>
    <col min="13571" max="13571" width="11.85546875" style="485" customWidth="1"/>
    <col min="13572" max="13572" width="4.140625" style="485" customWidth="1"/>
    <col min="13573" max="13573" width="17.140625" style="485" customWidth="1"/>
    <col min="13574" max="13574" width="15.140625" style="485" customWidth="1"/>
    <col min="13575" max="13575" width="12.28515625" style="485" customWidth="1"/>
    <col min="13576" max="13826" width="9.140625" style="485"/>
    <col min="13827" max="13827" width="11.85546875" style="485" customWidth="1"/>
    <col min="13828" max="13828" width="4.140625" style="485" customWidth="1"/>
    <col min="13829" max="13829" width="17.140625" style="485" customWidth="1"/>
    <col min="13830" max="13830" width="15.140625" style="485" customWidth="1"/>
    <col min="13831" max="13831" width="12.28515625" style="485" customWidth="1"/>
    <col min="13832" max="14082" width="9.140625" style="485"/>
    <col min="14083" max="14083" width="11.85546875" style="485" customWidth="1"/>
    <col min="14084" max="14084" width="4.140625" style="485" customWidth="1"/>
    <col min="14085" max="14085" width="17.140625" style="485" customWidth="1"/>
    <col min="14086" max="14086" width="15.140625" style="485" customWidth="1"/>
    <col min="14087" max="14087" width="12.28515625" style="485" customWidth="1"/>
    <col min="14088" max="14338" width="9.140625" style="485"/>
    <col min="14339" max="14339" width="11.85546875" style="485" customWidth="1"/>
    <col min="14340" max="14340" width="4.140625" style="485" customWidth="1"/>
    <col min="14341" max="14341" width="17.140625" style="485" customWidth="1"/>
    <col min="14342" max="14342" width="15.140625" style="485" customWidth="1"/>
    <col min="14343" max="14343" width="12.28515625" style="485" customWidth="1"/>
    <col min="14344" max="14594" width="9.140625" style="485"/>
    <col min="14595" max="14595" width="11.85546875" style="485" customWidth="1"/>
    <col min="14596" max="14596" width="4.140625" style="485" customWidth="1"/>
    <col min="14597" max="14597" width="17.140625" style="485" customWidth="1"/>
    <col min="14598" max="14598" width="15.140625" style="485" customWidth="1"/>
    <col min="14599" max="14599" width="12.28515625" style="485" customWidth="1"/>
    <col min="14600" max="14850" width="9.140625" style="485"/>
    <col min="14851" max="14851" width="11.85546875" style="485" customWidth="1"/>
    <col min="14852" max="14852" width="4.140625" style="485" customWidth="1"/>
    <col min="14853" max="14853" width="17.140625" style="485" customWidth="1"/>
    <col min="14854" max="14854" width="15.140625" style="485" customWidth="1"/>
    <col min="14855" max="14855" width="12.28515625" style="485" customWidth="1"/>
    <col min="14856" max="15106" width="9.140625" style="485"/>
    <col min="15107" max="15107" width="11.85546875" style="485" customWidth="1"/>
    <col min="15108" max="15108" width="4.140625" style="485" customWidth="1"/>
    <col min="15109" max="15109" width="17.140625" style="485" customWidth="1"/>
    <col min="15110" max="15110" width="15.140625" style="485" customWidth="1"/>
    <col min="15111" max="15111" width="12.28515625" style="485" customWidth="1"/>
    <col min="15112" max="15362" width="9.140625" style="485"/>
    <col min="15363" max="15363" width="11.85546875" style="485" customWidth="1"/>
    <col min="15364" max="15364" width="4.140625" style="485" customWidth="1"/>
    <col min="15365" max="15365" width="17.140625" style="485" customWidth="1"/>
    <col min="15366" max="15366" width="15.140625" style="485" customWidth="1"/>
    <col min="15367" max="15367" width="12.28515625" style="485" customWidth="1"/>
    <col min="15368" max="15618" width="9.140625" style="485"/>
    <col min="15619" max="15619" width="11.85546875" style="485" customWidth="1"/>
    <col min="15620" max="15620" width="4.140625" style="485" customWidth="1"/>
    <col min="15621" max="15621" width="17.140625" style="485" customWidth="1"/>
    <col min="15622" max="15622" width="15.140625" style="485" customWidth="1"/>
    <col min="15623" max="15623" width="12.28515625" style="485" customWidth="1"/>
    <col min="15624" max="15874" width="9.140625" style="485"/>
    <col min="15875" max="15875" width="11.85546875" style="485" customWidth="1"/>
    <col min="15876" max="15876" width="4.140625" style="485" customWidth="1"/>
    <col min="15877" max="15877" width="17.140625" style="485" customWidth="1"/>
    <col min="15878" max="15878" width="15.140625" style="485" customWidth="1"/>
    <col min="15879" max="15879" width="12.28515625" style="485" customWidth="1"/>
    <col min="15880" max="16130" width="9.140625" style="485"/>
    <col min="16131" max="16131" width="11.85546875" style="485" customWidth="1"/>
    <col min="16132" max="16132" width="4.140625" style="485" customWidth="1"/>
    <col min="16133" max="16133" width="17.140625" style="485" customWidth="1"/>
    <col min="16134" max="16134" width="15.140625" style="485" customWidth="1"/>
    <col min="16135" max="16135" width="12.28515625" style="485" customWidth="1"/>
    <col min="16136" max="16384" width="9.140625" style="485"/>
  </cols>
  <sheetData>
    <row r="2" spans="1:7" x14ac:dyDescent="0.25">
      <c r="G2" s="485" t="s">
        <v>567</v>
      </c>
    </row>
    <row r="3" spans="1:7" ht="23.25" customHeight="1" x14ac:dyDescent="0.3">
      <c r="A3" s="484" t="s">
        <v>549</v>
      </c>
    </row>
    <row r="7" spans="1:7" ht="27" customHeight="1" x14ac:dyDescent="0.4">
      <c r="A7" s="486" t="s">
        <v>226</v>
      </c>
      <c r="C7" s="487"/>
    </row>
    <row r="12" spans="1:7" ht="23.25" customHeight="1" x14ac:dyDescent="0.25">
      <c r="A12" s="488" t="s">
        <v>550</v>
      </c>
    </row>
    <row r="13" spans="1:7" ht="20.25" customHeight="1" x14ac:dyDescent="0.25">
      <c r="D13" s="489"/>
      <c r="E13" s="489" t="s">
        <v>551</v>
      </c>
      <c r="F13" s="489" t="s">
        <v>552</v>
      </c>
      <c r="G13" s="489" t="s">
        <v>130</v>
      </c>
    </row>
    <row r="14" spans="1:7" ht="21" customHeight="1" x14ac:dyDescent="0.25">
      <c r="A14" s="485" t="s">
        <v>553</v>
      </c>
      <c r="D14" s="490"/>
      <c r="E14" s="490">
        <v>54232</v>
      </c>
      <c r="F14" s="491">
        <f>SUM(54228,3950)-2100</f>
        <v>56078</v>
      </c>
      <c r="G14" s="492">
        <f>F14/E14</f>
        <v>1.0340389437970201</v>
      </c>
    </row>
    <row r="15" spans="1:7" x14ac:dyDescent="0.25">
      <c r="F15" s="493"/>
      <c r="G15" s="494"/>
    </row>
    <row r="16" spans="1:7" x14ac:dyDescent="0.25">
      <c r="F16" s="495"/>
      <c r="G16" s="494"/>
    </row>
    <row r="17" spans="1:7" x14ac:dyDescent="0.25">
      <c r="F17" s="495"/>
      <c r="G17" s="494"/>
    </row>
    <row r="18" spans="1:7" ht="21" customHeight="1" x14ac:dyDescent="0.25">
      <c r="A18" s="488" t="s">
        <v>554</v>
      </c>
      <c r="F18" s="495"/>
      <c r="G18" s="494"/>
    </row>
    <row r="19" spans="1:7" ht="22.5" customHeight="1" x14ac:dyDescent="0.25">
      <c r="D19" s="489"/>
      <c r="E19" s="489" t="s">
        <v>551</v>
      </c>
      <c r="F19" s="496" t="s">
        <v>552</v>
      </c>
      <c r="G19" s="497" t="s">
        <v>130</v>
      </c>
    </row>
    <row r="20" spans="1:7" ht="19.5" customHeight="1" x14ac:dyDescent="0.25">
      <c r="A20" s="485" t="s">
        <v>555</v>
      </c>
      <c r="D20" s="493"/>
      <c r="E20" s="493">
        <v>30761</v>
      </c>
      <c r="F20" s="495">
        <v>30865</v>
      </c>
      <c r="G20" s="494">
        <f>F20/E20</f>
        <v>1.0033809043919248</v>
      </c>
    </row>
    <row r="21" spans="1:7" ht="20.25" customHeight="1" x14ac:dyDescent="0.25">
      <c r="A21" s="485" t="s">
        <v>556</v>
      </c>
      <c r="D21" s="493"/>
      <c r="E21" s="493">
        <v>2280</v>
      </c>
      <c r="F21" s="495">
        <v>2060</v>
      </c>
      <c r="G21" s="494">
        <f t="shared" ref="G21:G30" si="0">F21/E21</f>
        <v>0.90350877192982459</v>
      </c>
    </row>
    <row r="22" spans="1:7" ht="19.5" customHeight="1" x14ac:dyDescent="0.25">
      <c r="A22" s="485" t="s">
        <v>557</v>
      </c>
      <c r="D22" s="493"/>
      <c r="E22" s="493">
        <v>10200</v>
      </c>
      <c r="F22" s="495">
        <v>9864</v>
      </c>
      <c r="G22" s="494">
        <f t="shared" si="0"/>
        <v>0.96705882352941175</v>
      </c>
    </row>
    <row r="23" spans="1:7" ht="18.75" customHeight="1" x14ac:dyDescent="0.25">
      <c r="A23" s="485" t="s">
        <v>558</v>
      </c>
      <c r="D23" s="493"/>
      <c r="E23" s="493">
        <v>4756</v>
      </c>
      <c r="F23" s="495">
        <v>5366</v>
      </c>
      <c r="G23" s="494">
        <f t="shared" si="0"/>
        <v>1.1282590412111018</v>
      </c>
    </row>
    <row r="24" spans="1:7" ht="19.5" customHeight="1" x14ac:dyDescent="0.25">
      <c r="A24" s="485" t="s">
        <v>559</v>
      </c>
      <c r="D24" s="493"/>
      <c r="E24" s="493">
        <v>2020</v>
      </c>
      <c r="F24" s="495">
        <v>4343</v>
      </c>
      <c r="G24" s="494">
        <f t="shared" si="0"/>
        <v>2.15</v>
      </c>
    </row>
    <row r="25" spans="1:7" ht="19.5" customHeight="1" x14ac:dyDescent="0.25">
      <c r="A25" s="485" t="s">
        <v>560</v>
      </c>
      <c r="D25" s="493"/>
      <c r="E25" s="493">
        <v>2160</v>
      </c>
      <c r="F25" s="495">
        <v>2119</v>
      </c>
      <c r="G25" s="494">
        <f t="shared" si="0"/>
        <v>0.98101851851851851</v>
      </c>
    </row>
    <row r="26" spans="1:7" ht="18.75" customHeight="1" x14ac:dyDescent="0.25">
      <c r="A26" s="485" t="s">
        <v>561</v>
      </c>
      <c r="D26" s="493"/>
      <c r="E26" s="493">
        <v>250</v>
      </c>
      <c r="F26" s="495">
        <v>303</v>
      </c>
      <c r="G26" s="494">
        <f t="shared" si="0"/>
        <v>1.212</v>
      </c>
    </row>
    <row r="27" spans="1:7" ht="19.5" customHeight="1" x14ac:dyDescent="0.25">
      <c r="A27" s="485" t="s">
        <v>562</v>
      </c>
      <c r="D27" s="493"/>
      <c r="E27" s="493">
        <v>1350</v>
      </c>
      <c r="F27" s="495">
        <v>820</v>
      </c>
      <c r="G27" s="494">
        <f t="shared" si="0"/>
        <v>0.6074074074074074</v>
      </c>
    </row>
    <row r="28" spans="1:7" ht="21.75" customHeight="1" x14ac:dyDescent="0.25">
      <c r="A28" s="485" t="s">
        <v>563</v>
      </c>
      <c r="D28" s="493"/>
      <c r="E28" s="493">
        <v>305</v>
      </c>
      <c r="F28" s="495">
        <v>305</v>
      </c>
      <c r="G28" s="494">
        <f t="shared" si="0"/>
        <v>1</v>
      </c>
    </row>
    <row r="29" spans="1:7" ht="18.75" customHeight="1" x14ac:dyDescent="0.25">
      <c r="A29" s="485" t="s">
        <v>564</v>
      </c>
      <c r="D29" s="493"/>
      <c r="E29" s="493">
        <v>150</v>
      </c>
      <c r="F29" s="495">
        <v>0</v>
      </c>
      <c r="G29" s="494">
        <f t="shared" si="0"/>
        <v>0</v>
      </c>
    </row>
    <row r="30" spans="1:7" ht="18.75" customHeight="1" x14ac:dyDescent="0.25">
      <c r="A30" s="485" t="s">
        <v>565</v>
      </c>
      <c r="D30" s="490"/>
      <c r="E30" s="490">
        <f>SUM(E20:E29)</f>
        <v>54232</v>
      </c>
      <c r="F30" s="491">
        <f>SUM(F20:F29)</f>
        <v>56045</v>
      </c>
      <c r="G30" s="492">
        <f t="shared" si="0"/>
        <v>1.0334304469685793</v>
      </c>
    </row>
    <row r="31" spans="1:7" ht="18.75" customHeight="1" x14ac:dyDescent="0.25"/>
    <row r="33" spans="5:6" ht="15.75" x14ac:dyDescent="0.25">
      <c r="E33" s="488" t="s">
        <v>566</v>
      </c>
      <c r="F33" s="498">
        <v>33</v>
      </c>
    </row>
  </sheetData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3"/>
  <sheetViews>
    <sheetView tabSelected="1" workbookViewId="0">
      <selection activeCell="J7" sqref="J7"/>
    </sheetView>
  </sheetViews>
  <sheetFormatPr defaultRowHeight="15" x14ac:dyDescent="0.25"/>
  <cols>
    <col min="1" max="2" width="9.140625" style="485"/>
    <col min="3" max="3" width="11.85546875" style="485" customWidth="1"/>
    <col min="4" max="4" width="4.140625" style="485" customWidth="1"/>
    <col min="5" max="5" width="17.140625" style="485" customWidth="1"/>
    <col min="6" max="6" width="15.140625" style="485" customWidth="1"/>
    <col min="7" max="7" width="12.28515625" style="485" customWidth="1"/>
    <col min="8" max="258" width="9.140625" style="485"/>
    <col min="259" max="259" width="11.85546875" style="485" customWidth="1"/>
    <col min="260" max="260" width="4.140625" style="485" customWidth="1"/>
    <col min="261" max="261" width="17.140625" style="485" customWidth="1"/>
    <col min="262" max="262" width="15.140625" style="485" customWidth="1"/>
    <col min="263" max="263" width="12.28515625" style="485" customWidth="1"/>
    <col min="264" max="514" width="9.140625" style="485"/>
    <col min="515" max="515" width="11.85546875" style="485" customWidth="1"/>
    <col min="516" max="516" width="4.140625" style="485" customWidth="1"/>
    <col min="517" max="517" width="17.140625" style="485" customWidth="1"/>
    <col min="518" max="518" width="15.140625" style="485" customWidth="1"/>
    <col min="519" max="519" width="12.28515625" style="485" customWidth="1"/>
    <col min="520" max="770" width="9.140625" style="485"/>
    <col min="771" max="771" width="11.85546875" style="485" customWidth="1"/>
    <col min="772" max="772" width="4.140625" style="485" customWidth="1"/>
    <col min="773" max="773" width="17.140625" style="485" customWidth="1"/>
    <col min="774" max="774" width="15.140625" style="485" customWidth="1"/>
    <col min="775" max="775" width="12.28515625" style="485" customWidth="1"/>
    <col min="776" max="1026" width="9.140625" style="485"/>
    <col min="1027" max="1027" width="11.85546875" style="485" customWidth="1"/>
    <col min="1028" max="1028" width="4.140625" style="485" customWidth="1"/>
    <col min="1029" max="1029" width="17.140625" style="485" customWidth="1"/>
    <col min="1030" max="1030" width="15.140625" style="485" customWidth="1"/>
    <col min="1031" max="1031" width="12.28515625" style="485" customWidth="1"/>
    <col min="1032" max="1282" width="9.140625" style="485"/>
    <col min="1283" max="1283" width="11.85546875" style="485" customWidth="1"/>
    <col min="1284" max="1284" width="4.140625" style="485" customWidth="1"/>
    <col min="1285" max="1285" width="17.140625" style="485" customWidth="1"/>
    <col min="1286" max="1286" width="15.140625" style="485" customWidth="1"/>
    <col min="1287" max="1287" width="12.28515625" style="485" customWidth="1"/>
    <col min="1288" max="1538" width="9.140625" style="485"/>
    <col min="1539" max="1539" width="11.85546875" style="485" customWidth="1"/>
    <col min="1540" max="1540" width="4.140625" style="485" customWidth="1"/>
    <col min="1541" max="1541" width="17.140625" style="485" customWidth="1"/>
    <col min="1542" max="1542" width="15.140625" style="485" customWidth="1"/>
    <col min="1543" max="1543" width="12.28515625" style="485" customWidth="1"/>
    <col min="1544" max="1794" width="9.140625" style="485"/>
    <col min="1795" max="1795" width="11.85546875" style="485" customWidth="1"/>
    <col min="1796" max="1796" width="4.140625" style="485" customWidth="1"/>
    <col min="1797" max="1797" width="17.140625" style="485" customWidth="1"/>
    <col min="1798" max="1798" width="15.140625" style="485" customWidth="1"/>
    <col min="1799" max="1799" width="12.28515625" style="485" customWidth="1"/>
    <col min="1800" max="2050" width="9.140625" style="485"/>
    <col min="2051" max="2051" width="11.85546875" style="485" customWidth="1"/>
    <col min="2052" max="2052" width="4.140625" style="485" customWidth="1"/>
    <col min="2053" max="2053" width="17.140625" style="485" customWidth="1"/>
    <col min="2054" max="2054" width="15.140625" style="485" customWidth="1"/>
    <col min="2055" max="2055" width="12.28515625" style="485" customWidth="1"/>
    <col min="2056" max="2306" width="9.140625" style="485"/>
    <col min="2307" max="2307" width="11.85546875" style="485" customWidth="1"/>
    <col min="2308" max="2308" width="4.140625" style="485" customWidth="1"/>
    <col min="2309" max="2309" width="17.140625" style="485" customWidth="1"/>
    <col min="2310" max="2310" width="15.140625" style="485" customWidth="1"/>
    <col min="2311" max="2311" width="12.28515625" style="485" customWidth="1"/>
    <col min="2312" max="2562" width="9.140625" style="485"/>
    <col min="2563" max="2563" width="11.85546875" style="485" customWidth="1"/>
    <col min="2564" max="2564" width="4.140625" style="485" customWidth="1"/>
    <col min="2565" max="2565" width="17.140625" style="485" customWidth="1"/>
    <col min="2566" max="2566" width="15.140625" style="485" customWidth="1"/>
    <col min="2567" max="2567" width="12.28515625" style="485" customWidth="1"/>
    <col min="2568" max="2818" width="9.140625" style="485"/>
    <col min="2819" max="2819" width="11.85546875" style="485" customWidth="1"/>
    <col min="2820" max="2820" width="4.140625" style="485" customWidth="1"/>
    <col min="2821" max="2821" width="17.140625" style="485" customWidth="1"/>
    <col min="2822" max="2822" width="15.140625" style="485" customWidth="1"/>
    <col min="2823" max="2823" width="12.28515625" style="485" customWidth="1"/>
    <col min="2824" max="3074" width="9.140625" style="485"/>
    <col min="3075" max="3075" width="11.85546875" style="485" customWidth="1"/>
    <col min="3076" max="3076" width="4.140625" style="485" customWidth="1"/>
    <col min="3077" max="3077" width="17.140625" style="485" customWidth="1"/>
    <col min="3078" max="3078" width="15.140625" style="485" customWidth="1"/>
    <col min="3079" max="3079" width="12.28515625" style="485" customWidth="1"/>
    <col min="3080" max="3330" width="9.140625" style="485"/>
    <col min="3331" max="3331" width="11.85546875" style="485" customWidth="1"/>
    <col min="3332" max="3332" width="4.140625" style="485" customWidth="1"/>
    <col min="3333" max="3333" width="17.140625" style="485" customWidth="1"/>
    <col min="3334" max="3334" width="15.140625" style="485" customWidth="1"/>
    <col min="3335" max="3335" width="12.28515625" style="485" customWidth="1"/>
    <col min="3336" max="3586" width="9.140625" style="485"/>
    <col min="3587" max="3587" width="11.85546875" style="485" customWidth="1"/>
    <col min="3588" max="3588" width="4.140625" style="485" customWidth="1"/>
    <col min="3589" max="3589" width="17.140625" style="485" customWidth="1"/>
    <col min="3590" max="3590" width="15.140625" style="485" customWidth="1"/>
    <col min="3591" max="3591" width="12.28515625" style="485" customWidth="1"/>
    <col min="3592" max="3842" width="9.140625" style="485"/>
    <col min="3843" max="3843" width="11.85546875" style="485" customWidth="1"/>
    <col min="3844" max="3844" width="4.140625" style="485" customWidth="1"/>
    <col min="3845" max="3845" width="17.140625" style="485" customWidth="1"/>
    <col min="3846" max="3846" width="15.140625" style="485" customWidth="1"/>
    <col min="3847" max="3847" width="12.28515625" style="485" customWidth="1"/>
    <col min="3848" max="4098" width="9.140625" style="485"/>
    <col min="4099" max="4099" width="11.85546875" style="485" customWidth="1"/>
    <col min="4100" max="4100" width="4.140625" style="485" customWidth="1"/>
    <col min="4101" max="4101" width="17.140625" style="485" customWidth="1"/>
    <col min="4102" max="4102" width="15.140625" style="485" customWidth="1"/>
    <col min="4103" max="4103" width="12.28515625" style="485" customWidth="1"/>
    <col min="4104" max="4354" width="9.140625" style="485"/>
    <col min="4355" max="4355" width="11.85546875" style="485" customWidth="1"/>
    <col min="4356" max="4356" width="4.140625" style="485" customWidth="1"/>
    <col min="4357" max="4357" width="17.140625" style="485" customWidth="1"/>
    <col min="4358" max="4358" width="15.140625" style="485" customWidth="1"/>
    <col min="4359" max="4359" width="12.28515625" style="485" customWidth="1"/>
    <col min="4360" max="4610" width="9.140625" style="485"/>
    <col min="4611" max="4611" width="11.85546875" style="485" customWidth="1"/>
    <col min="4612" max="4612" width="4.140625" style="485" customWidth="1"/>
    <col min="4613" max="4613" width="17.140625" style="485" customWidth="1"/>
    <col min="4614" max="4614" width="15.140625" style="485" customWidth="1"/>
    <col min="4615" max="4615" width="12.28515625" style="485" customWidth="1"/>
    <col min="4616" max="4866" width="9.140625" style="485"/>
    <col min="4867" max="4867" width="11.85546875" style="485" customWidth="1"/>
    <col min="4868" max="4868" width="4.140625" style="485" customWidth="1"/>
    <col min="4869" max="4869" width="17.140625" style="485" customWidth="1"/>
    <col min="4870" max="4870" width="15.140625" style="485" customWidth="1"/>
    <col min="4871" max="4871" width="12.28515625" style="485" customWidth="1"/>
    <col min="4872" max="5122" width="9.140625" style="485"/>
    <col min="5123" max="5123" width="11.85546875" style="485" customWidth="1"/>
    <col min="5124" max="5124" width="4.140625" style="485" customWidth="1"/>
    <col min="5125" max="5125" width="17.140625" style="485" customWidth="1"/>
    <col min="5126" max="5126" width="15.140625" style="485" customWidth="1"/>
    <col min="5127" max="5127" width="12.28515625" style="485" customWidth="1"/>
    <col min="5128" max="5378" width="9.140625" style="485"/>
    <col min="5379" max="5379" width="11.85546875" style="485" customWidth="1"/>
    <col min="5380" max="5380" width="4.140625" style="485" customWidth="1"/>
    <col min="5381" max="5381" width="17.140625" style="485" customWidth="1"/>
    <col min="5382" max="5382" width="15.140625" style="485" customWidth="1"/>
    <col min="5383" max="5383" width="12.28515625" style="485" customWidth="1"/>
    <col min="5384" max="5634" width="9.140625" style="485"/>
    <col min="5635" max="5635" width="11.85546875" style="485" customWidth="1"/>
    <col min="5636" max="5636" width="4.140625" style="485" customWidth="1"/>
    <col min="5637" max="5637" width="17.140625" style="485" customWidth="1"/>
    <col min="5638" max="5638" width="15.140625" style="485" customWidth="1"/>
    <col min="5639" max="5639" width="12.28515625" style="485" customWidth="1"/>
    <col min="5640" max="5890" width="9.140625" style="485"/>
    <col min="5891" max="5891" width="11.85546875" style="485" customWidth="1"/>
    <col min="5892" max="5892" width="4.140625" style="485" customWidth="1"/>
    <col min="5893" max="5893" width="17.140625" style="485" customWidth="1"/>
    <col min="5894" max="5894" width="15.140625" style="485" customWidth="1"/>
    <col min="5895" max="5895" width="12.28515625" style="485" customWidth="1"/>
    <col min="5896" max="6146" width="9.140625" style="485"/>
    <col min="6147" max="6147" width="11.85546875" style="485" customWidth="1"/>
    <col min="6148" max="6148" width="4.140625" style="485" customWidth="1"/>
    <col min="6149" max="6149" width="17.140625" style="485" customWidth="1"/>
    <col min="6150" max="6150" width="15.140625" style="485" customWidth="1"/>
    <col min="6151" max="6151" width="12.28515625" style="485" customWidth="1"/>
    <col min="6152" max="6402" width="9.140625" style="485"/>
    <col min="6403" max="6403" width="11.85546875" style="485" customWidth="1"/>
    <col min="6404" max="6404" width="4.140625" style="485" customWidth="1"/>
    <col min="6405" max="6405" width="17.140625" style="485" customWidth="1"/>
    <col min="6406" max="6406" width="15.140625" style="485" customWidth="1"/>
    <col min="6407" max="6407" width="12.28515625" style="485" customWidth="1"/>
    <col min="6408" max="6658" width="9.140625" style="485"/>
    <col min="6659" max="6659" width="11.85546875" style="485" customWidth="1"/>
    <col min="6660" max="6660" width="4.140625" style="485" customWidth="1"/>
    <col min="6661" max="6661" width="17.140625" style="485" customWidth="1"/>
    <col min="6662" max="6662" width="15.140625" style="485" customWidth="1"/>
    <col min="6663" max="6663" width="12.28515625" style="485" customWidth="1"/>
    <col min="6664" max="6914" width="9.140625" style="485"/>
    <col min="6915" max="6915" width="11.85546875" style="485" customWidth="1"/>
    <col min="6916" max="6916" width="4.140625" style="485" customWidth="1"/>
    <col min="6917" max="6917" width="17.140625" style="485" customWidth="1"/>
    <col min="6918" max="6918" width="15.140625" style="485" customWidth="1"/>
    <col min="6919" max="6919" width="12.28515625" style="485" customWidth="1"/>
    <col min="6920" max="7170" width="9.140625" style="485"/>
    <col min="7171" max="7171" width="11.85546875" style="485" customWidth="1"/>
    <col min="7172" max="7172" width="4.140625" style="485" customWidth="1"/>
    <col min="7173" max="7173" width="17.140625" style="485" customWidth="1"/>
    <col min="7174" max="7174" width="15.140625" style="485" customWidth="1"/>
    <col min="7175" max="7175" width="12.28515625" style="485" customWidth="1"/>
    <col min="7176" max="7426" width="9.140625" style="485"/>
    <col min="7427" max="7427" width="11.85546875" style="485" customWidth="1"/>
    <col min="7428" max="7428" width="4.140625" style="485" customWidth="1"/>
    <col min="7429" max="7429" width="17.140625" style="485" customWidth="1"/>
    <col min="7430" max="7430" width="15.140625" style="485" customWidth="1"/>
    <col min="7431" max="7431" width="12.28515625" style="485" customWidth="1"/>
    <col min="7432" max="7682" width="9.140625" style="485"/>
    <col min="7683" max="7683" width="11.85546875" style="485" customWidth="1"/>
    <col min="7684" max="7684" width="4.140625" style="485" customWidth="1"/>
    <col min="7685" max="7685" width="17.140625" style="485" customWidth="1"/>
    <col min="7686" max="7686" width="15.140625" style="485" customWidth="1"/>
    <col min="7687" max="7687" width="12.28515625" style="485" customWidth="1"/>
    <col min="7688" max="7938" width="9.140625" style="485"/>
    <col min="7939" max="7939" width="11.85546875" style="485" customWidth="1"/>
    <col min="7940" max="7940" width="4.140625" style="485" customWidth="1"/>
    <col min="7941" max="7941" width="17.140625" style="485" customWidth="1"/>
    <col min="7942" max="7942" width="15.140625" style="485" customWidth="1"/>
    <col min="7943" max="7943" width="12.28515625" style="485" customWidth="1"/>
    <col min="7944" max="8194" width="9.140625" style="485"/>
    <col min="8195" max="8195" width="11.85546875" style="485" customWidth="1"/>
    <col min="8196" max="8196" width="4.140625" style="485" customWidth="1"/>
    <col min="8197" max="8197" width="17.140625" style="485" customWidth="1"/>
    <col min="8198" max="8198" width="15.140625" style="485" customWidth="1"/>
    <col min="8199" max="8199" width="12.28515625" style="485" customWidth="1"/>
    <col min="8200" max="8450" width="9.140625" style="485"/>
    <col min="8451" max="8451" width="11.85546875" style="485" customWidth="1"/>
    <col min="8452" max="8452" width="4.140625" style="485" customWidth="1"/>
    <col min="8453" max="8453" width="17.140625" style="485" customWidth="1"/>
    <col min="8454" max="8454" width="15.140625" style="485" customWidth="1"/>
    <col min="8455" max="8455" width="12.28515625" style="485" customWidth="1"/>
    <col min="8456" max="8706" width="9.140625" style="485"/>
    <col min="8707" max="8707" width="11.85546875" style="485" customWidth="1"/>
    <col min="8708" max="8708" width="4.140625" style="485" customWidth="1"/>
    <col min="8709" max="8709" width="17.140625" style="485" customWidth="1"/>
    <col min="8710" max="8710" width="15.140625" style="485" customWidth="1"/>
    <col min="8711" max="8711" width="12.28515625" style="485" customWidth="1"/>
    <col min="8712" max="8962" width="9.140625" style="485"/>
    <col min="8963" max="8963" width="11.85546875" style="485" customWidth="1"/>
    <col min="8964" max="8964" width="4.140625" style="485" customWidth="1"/>
    <col min="8965" max="8965" width="17.140625" style="485" customWidth="1"/>
    <col min="8966" max="8966" width="15.140625" style="485" customWidth="1"/>
    <col min="8967" max="8967" width="12.28515625" style="485" customWidth="1"/>
    <col min="8968" max="9218" width="9.140625" style="485"/>
    <col min="9219" max="9219" width="11.85546875" style="485" customWidth="1"/>
    <col min="9220" max="9220" width="4.140625" style="485" customWidth="1"/>
    <col min="9221" max="9221" width="17.140625" style="485" customWidth="1"/>
    <col min="9222" max="9222" width="15.140625" style="485" customWidth="1"/>
    <col min="9223" max="9223" width="12.28515625" style="485" customWidth="1"/>
    <col min="9224" max="9474" width="9.140625" style="485"/>
    <col min="9475" max="9475" width="11.85546875" style="485" customWidth="1"/>
    <col min="9476" max="9476" width="4.140625" style="485" customWidth="1"/>
    <col min="9477" max="9477" width="17.140625" style="485" customWidth="1"/>
    <col min="9478" max="9478" width="15.140625" style="485" customWidth="1"/>
    <col min="9479" max="9479" width="12.28515625" style="485" customWidth="1"/>
    <col min="9480" max="9730" width="9.140625" style="485"/>
    <col min="9731" max="9731" width="11.85546875" style="485" customWidth="1"/>
    <col min="9732" max="9732" width="4.140625" style="485" customWidth="1"/>
    <col min="9733" max="9733" width="17.140625" style="485" customWidth="1"/>
    <col min="9734" max="9734" width="15.140625" style="485" customWidth="1"/>
    <col min="9735" max="9735" width="12.28515625" style="485" customWidth="1"/>
    <col min="9736" max="9986" width="9.140625" style="485"/>
    <col min="9987" max="9987" width="11.85546875" style="485" customWidth="1"/>
    <col min="9988" max="9988" width="4.140625" style="485" customWidth="1"/>
    <col min="9989" max="9989" width="17.140625" style="485" customWidth="1"/>
    <col min="9990" max="9990" width="15.140625" style="485" customWidth="1"/>
    <col min="9991" max="9991" width="12.28515625" style="485" customWidth="1"/>
    <col min="9992" max="10242" width="9.140625" style="485"/>
    <col min="10243" max="10243" width="11.85546875" style="485" customWidth="1"/>
    <col min="10244" max="10244" width="4.140625" style="485" customWidth="1"/>
    <col min="10245" max="10245" width="17.140625" style="485" customWidth="1"/>
    <col min="10246" max="10246" width="15.140625" style="485" customWidth="1"/>
    <col min="10247" max="10247" width="12.28515625" style="485" customWidth="1"/>
    <col min="10248" max="10498" width="9.140625" style="485"/>
    <col min="10499" max="10499" width="11.85546875" style="485" customWidth="1"/>
    <col min="10500" max="10500" width="4.140625" style="485" customWidth="1"/>
    <col min="10501" max="10501" width="17.140625" style="485" customWidth="1"/>
    <col min="10502" max="10502" width="15.140625" style="485" customWidth="1"/>
    <col min="10503" max="10503" width="12.28515625" style="485" customWidth="1"/>
    <col min="10504" max="10754" width="9.140625" style="485"/>
    <col min="10755" max="10755" width="11.85546875" style="485" customWidth="1"/>
    <col min="10756" max="10756" width="4.140625" style="485" customWidth="1"/>
    <col min="10757" max="10757" width="17.140625" style="485" customWidth="1"/>
    <col min="10758" max="10758" width="15.140625" style="485" customWidth="1"/>
    <col min="10759" max="10759" width="12.28515625" style="485" customWidth="1"/>
    <col min="10760" max="11010" width="9.140625" style="485"/>
    <col min="11011" max="11011" width="11.85546875" style="485" customWidth="1"/>
    <col min="11012" max="11012" width="4.140625" style="485" customWidth="1"/>
    <col min="11013" max="11013" width="17.140625" style="485" customWidth="1"/>
    <col min="11014" max="11014" width="15.140625" style="485" customWidth="1"/>
    <col min="11015" max="11015" width="12.28515625" style="485" customWidth="1"/>
    <col min="11016" max="11266" width="9.140625" style="485"/>
    <col min="11267" max="11267" width="11.85546875" style="485" customWidth="1"/>
    <col min="11268" max="11268" width="4.140625" style="485" customWidth="1"/>
    <col min="11269" max="11269" width="17.140625" style="485" customWidth="1"/>
    <col min="11270" max="11270" width="15.140625" style="485" customWidth="1"/>
    <col min="11271" max="11271" width="12.28515625" style="485" customWidth="1"/>
    <col min="11272" max="11522" width="9.140625" style="485"/>
    <col min="11523" max="11523" width="11.85546875" style="485" customWidth="1"/>
    <col min="11524" max="11524" width="4.140625" style="485" customWidth="1"/>
    <col min="11525" max="11525" width="17.140625" style="485" customWidth="1"/>
    <col min="11526" max="11526" width="15.140625" style="485" customWidth="1"/>
    <col min="11527" max="11527" width="12.28515625" style="485" customWidth="1"/>
    <col min="11528" max="11778" width="9.140625" style="485"/>
    <col min="11779" max="11779" width="11.85546875" style="485" customWidth="1"/>
    <col min="11780" max="11780" width="4.140625" style="485" customWidth="1"/>
    <col min="11781" max="11781" width="17.140625" style="485" customWidth="1"/>
    <col min="11782" max="11782" width="15.140625" style="485" customWidth="1"/>
    <col min="11783" max="11783" width="12.28515625" style="485" customWidth="1"/>
    <col min="11784" max="12034" width="9.140625" style="485"/>
    <col min="12035" max="12035" width="11.85546875" style="485" customWidth="1"/>
    <col min="12036" max="12036" width="4.140625" style="485" customWidth="1"/>
    <col min="12037" max="12037" width="17.140625" style="485" customWidth="1"/>
    <col min="12038" max="12038" width="15.140625" style="485" customWidth="1"/>
    <col min="12039" max="12039" width="12.28515625" style="485" customWidth="1"/>
    <col min="12040" max="12290" width="9.140625" style="485"/>
    <col min="12291" max="12291" width="11.85546875" style="485" customWidth="1"/>
    <col min="12292" max="12292" width="4.140625" style="485" customWidth="1"/>
    <col min="12293" max="12293" width="17.140625" style="485" customWidth="1"/>
    <col min="12294" max="12294" width="15.140625" style="485" customWidth="1"/>
    <col min="12295" max="12295" width="12.28515625" style="485" customWidth="1"/>
    <col min="12296" max="12546" width="9.140625" style="485"/>
    <col min="12547" max="12547" width="11.85546875" style="485" customWidth="1"/>
    <col min="12548" max="12548" width="4.140625" style="485" customWidth="1"/>
    <col min="12549" max="12549" width="17.140625" style="485" customWidth="1"/>
    <col min="12550" max="12550" width="15.140625" style="485" customWidth="1"/>
    <col min="12551" max="12551" width="12.28515625" style="485" customWidth="1"/>
    <col min="12552" max="12802" width="9.140625" style="485"/>
    <col min="12803" max="12803" width="11.85546875" style="485" customWidth="1"/>
    <col min="12804" max="12804" width="4.140625" style="485" customWidth="1"/>
    <col min="12805" max="12805" width="17.140625" style="485" customWidth="1"/>
    <col min="12806" max="12806" width="15.140625" style="485" customWidth="1"/>
    <col min="12807" max="12807" width="12.28515625" style="485" customWidth="1"/>
    <col min="12808" max="13058" width="9.140625" style="485"/>
    <col min="13059" max="13059" width="11.85546875" style="485" customWidth="1"/>
    <col min="13060" max="13060" width="4.140625" style="485" customWidth="1"/>
    <col min="13061" max="13061" width="17.140625" style="485" customWidth="1"/>
    <col min="13062" max="13062" width="15.140625" style="485" customWidth="1"/>
    <col min="13063" max="13063" width="12.28515625" style="485" customWidth="1"/>
    <col min="13064" max="13314" width="9.140625" style="485"/>
    <col min="13315" max="13315" width="11.85546875" style="485" customWidth="1"/>
    <col min="13316" max="13316" width="4.140625" style="485" customWidth="1"/>
    <col min="13317" max="13317" width="17.140625" style="485" customWidth="1"/>
    <col min="13318" max="13318" width="15.140625" style="485" customWidth="1"/>
    <col min="13319" max="13319" width="12.28515625" style="485" customWidth="1"/>
    <col min="13320" max="13570" width="9.140625" style="485"/>
    <col min="13571" max="13571" width="11.85546875" style="485" customWidth="1"/>
    <col min="13572" max="13572" width="4.140625" style="485" customWidth="1"/>
    <col min="13573" max="13573" width="17.140625" style="485" customWidth="1"/>
    <col min="13574" max="13574" width="15.140625" style="485" customWidth="1"/>
    <col min="13575" max="13575" width="12.28515625" style="485" customWidth="1"/>
    <col min="13576" max="13826" width="9.140625" style="485"/>
    <col min="13827" max="13827" width="11.85546875" style="485" customWidth="1"/>
    <col min="13828" max="13828" width="4.140625" style="485" customWidth="1"/>
    <col min="13829" max="13829" width="17.140625" style="485" customWidth="1"/>
    <col min="13830" max="13830" width="15.140625" style="485" customWidth="1"/>
    <col min="13831" max="13831" width="12.28515625" style="485" customWidth="1"/>
    <col min="13832" max="14082" width="9.140625" style="485"/>
    <col min="14083" max="14083" width="11.85546875" style="485" customWidth="1"/>
    <col min="14084" max="14084" width="4.140625" style="485" customWidth="1"/>
    <col min="14085" max="14085" width="17.140625" style="485" customWidth="1"/>
    <col min="14086" max="14086" width="15.140625" style="485" customWidth="1"/>
    <col min="14087" max="14087" width="12.28515625" style="485" customWidth="1"/>
    <col min="14088" max="14338" width="9.140625" style="485"/>
    <col min="14339" max="14339" width="11.85546875" style="485" customWidth="1"/>
    <col min="14340" max="14340" width="4.140625" style="485" customWidth="1"/>
    <col min="14341" max="14341" width="17.140625" style="485" customWidth="1"/>
    <col min="14342" max="14342" width="15.140625" style="485" customWidth="1"/>
    <col min="14343" max="14343" width="12.28515625" style="485" customWidth="1"/>
    <col min="14344" max="14594" width="9.140625" style="485"/>
    <col min="14595" max="14595" width="11.85546875" style="485" customWidth="1"/>
    <col min="14596" max="14596" width="4.140625" style="485" customWidth="1"/>
    <col min="14597" max="14597" width="17.140625" style="485" customWidth="1"/>
    <col min="14598" max="14598" width="15.140625" style="485" customWidth="1"/>
    <col min="14599" max="14599" width="12.28515625" style="485" customWidth="1"/>
    <col min="14600" max="14850" width="9.140625" style="485"/>
    <col min="14851" max="14851" width="11.85546875" style="485" customWidth="1"/>
    <col min="14852" max="14852" width="4.140625" style="485" customWidth="1"/>
    <col min="14853" max="14853" width="17.140625" style="485" customWidth="1"/>
    <col min="14854" max="14854" width="15.140625" style="485" customWidth="1"/>
    <col min="14855" max="14855" width="12.28515625" style="485" customWidth="1"/>
    <col min="14856" max="15106" width="9.140625" style="485"/>
    <col min="15107" max="15107" width="11.85546875" style="485" customWidth="1"/>
    <col min="15108" max="15108" width="4.140625" style="485" customWidth="1"/>
    <col min="15109" max="15109" width="17.140625" style="485" customWidth="1"/>
    <col min="15110" max="15110" width="15.140625" style="485" customWidth="1"/>
    <col min="15111" max="15111" width="12.28515625" style="485" customWidth="1"/>
    <col min="15112" max="15362" width="9.140625" style="485"/>
    <col min="15363" max="15363" width="11.85546875" style="485" customWidth="1"/>
    <col min="15364" max="15364" width="4.140625" style="485" customWidth="1"/>
    <col min="15365" max="15365" width="17.140625" style="485" customWidth="1"/>
    <col min="15366" max="15366" width="15.140625" style="485" customWidth="1"/>
    <col min="15367" max="15367" width="12.28515625" style="485" customWidth="1"/>
    <col min="15368" max="15618" width="9.140625" style="485"/>
    <col min="15619" max="15619" width="11.85546875" style="485" customWidth="1"/>
    <col min="15620" max="15620" width="4.140625" style="485" customWidth="1"/>
    <col min="15621" max="15621" width="17.140625" style="485" customWidth="1"/>
    <col min="15622" max="15622" width="15.140625" style="485" customWidth="1"/>
    <col min="15623" max="15623" width="12.28515625" style="485" customWidth="1"/>
    <col min="15624" max="15874" width="9.140625" style="485"/>
    <col min="15875" max="15875" width="11.85546875" style="485" customWidth="1"/>
    <col min="15876" max="15876" width="4.140625" style="485" customWidth="1"/>
    <col min="15877" max="15877" width="17.140625" style="485" customWidth="1"/>
    <col min="15878" max="15878" width="15.140625" style="485" customWidth="1"/>
    <col min="15879" max="15879" width="12.28515625" style="485" customWidth="1"/>
    <col min="15880" max="16130" width="9.140625" style="485"/>
    <col min="16131" max="16131" width="11.85546875" style="485" customWidth="1"/>
    <col min="16132" max="16132" width="4.140625" style="485" customWidth="1"/>
    <col min="16133" max="16133" width="17.140625" style="485" customWidth="1"/>
    <col min="16134" max="16134" width="15.140625" style="485" customWidth="1"/>
    <col min="16135" max="16135" width="12.28515625" style="485" customWidth="1"/>
    <col min="16136" max="16384" width="9.140625" style="485"/>
  </cols>
  <sheetData>
    <row r="2" spans="1:7" x14ac:dyDescent="0.25">
      <c r="G2" s="485" t="s">
        <v>570</v>
      </c>
    </row>
    <row r="3" spans="1:7" ht="23.25" customHeight="1" x14ac:dyDescent="0.3">
      <c r="A3" s="484" t="s">
        <v>568</v>
      </c>
    </row>
    <row r="7" spans="1:7" ht="27" customHeight="1" x14ac:dyDescent="0.4">
      <c r="A7" s="486" t="s">
        <v>226</v>
      </c>
      <c r="C7" s="487"/>
    </row>
    <row r="12" spans="1:7" ht="23.25" customHeight="1" x14ac:dyDescent="0.25">
      <c r="A12" s="488" t="s">
        <v>550</v>
      </c>
    </row>
    <row r="13" spans="1:7" ht="20.25" customHeight="1" x14ac:dyDescent="0.25">
      <c r="D13" s="489"/>
      <c r="E13" s="489" t="s">
        <v>551</v>
      </c>
      <c r="F13" s="489" t="s">
        <v>552</v>
      </c>
      <c r="G13" s="489" t="s">
        <v>130</v>
      </c>
    </row>
    <row r="14" spans="1:7" ht="21" customHeight="1" x14ac:dyDescent="0.25">
      <c r="A14" s="485" t="s">
        <v>553</v>
      </c>
      <c r="D14" s="490"/>
      <c r="E14" s="490">
        <v>42768</v>
      </c>
      <c r="F14" s="491">
        <f>SUM(42768,474)-3564</f>
        <v>39678</v>
      </c>
      <c r="G14" s="492">
        <f>F14/E14</f>
        <v>0.92774971941638606</v>
      </c>
    </row>
    <row r="15" spans="1:7" x14ac:dyDescent="0.25">
      <c r="A15" s="485" t="s">
        <v>569</v>
      </c>
      <c r="E15" s="499">
        <v>0</v>
      </c>
      <c r="F15" s="490">
        <v>1094</v>
      </c>
      <c r="G15" s="492"/>
    </row>
    <row r="16" spans="1:7" x14ac:dyDescent="0.25">
      <c r="F16" s="495"/>
      <c r="G16" s="494"/>
    </row>
    <row r="17" spans="1:7" x14ac:dyDescent="0.25">
      <c r="F17" s="495"/>
      <c r="G17" s="494"/>
    </row>
    <row r="18" spans="1:7" ht="21" customHeight="1" x14ac:dyDescent="0.25">
      <c r="A18" s="488" t="s">
        <v>554</v>
      </c>
      <c r="F18" s="495"/>
      <c r="G18" s="494"/>
    </row>
    <row r="19" spans="1:7" ht="22.5" customHeight="1" x14ac:dyDescent="0.25">
      <c r="D19" s="489"/>
      <c r="E19" s="489" t="s">
        <v>551</v>
      </c>
      <c r="F19" s="496" t="s">
        <v>552</v>
      </c>
      <c r="G19" s="497" t="s">
        <v>130</v>
      </c>
    </row>
    <row r="20" spans="1:7" ht="19.5" customHeight="1" x14ac:dyDescent="0.25">
      <c r="A20" s="485" t="s">
        <v>555</v>
      </c>
      <c r="D20" s="493"/>
      <c r="E20" s="493">
        <v>22211</v>
      </c>
      <c r="F20" s="495">
        <v>21041</v>
      </c>
      <c r="G20" s="494">
        <f>F20/E20</f>
        <v>0.94732339831614965</v>
      </c>
    </row>
    <row r="21" spans="1:7" ht="20.25" customHeight="1" x14ac:dyDescent="0.25">
      <c r="A21" s="485" t="s">
        <v>556</v>
      </c>
      <c r="D21" s="493"/>
      <c r="E21" s="493">
        <v>3660</v>
      </c>
      <c r="F21" s="495">
        <v>3323</v>
      </c>
      <c r="G21" s="494">
        <f t="shared" ref="G21:G30" si="0">F21/E21</f>
        <v>0.90792349726775956</v>
      </c>
    </row>
    <row r="22" spans="1:7" ht="19.5" customHeight="1" x14ac:dyDescent="0.25">
      <c r="A22" s="485" t="s">
        <v>557</v>
      </c>
      <c r="D22" s="493"/>
      <c r="E22" s="493">
        <v>13060</v>
      </c>
      <c r="F22" s="495">
        <v>12515</v>
      </c>
      <c r="G22" s="494">
        <f t="shared" si="0"/>
        <v>0.95826952526799392</v>
      </c>
    </row>
    <row r="23" spans="1:7" ht="18.75" customHeight="1" x14ac:dyDescent="0.25">
      <c r="A23" s="485" t="s">
        <v>558</v>
      </c>
      <c r="D23" s="493"/>
      <c r="E23" s="493">
        <v>832</v>
      </c>
      <c r="F23" s="495">
        <v>1722</v>
      </c>
      <c r="G23" s="494">
        <f t="shared" si="0"/>
        <v>2.0697115384615383</v>
      </c>
    </row>
    <row r="24" spans="1:7" ht="19.5" customHeight="1" x14ac:dyDescent="0.25">
      <c r="A24" s="485" t="s">
        <v>559</v>
      </c>
      <c r="D24" s="493"/>
      <c r="E24" s="493">
        <v>350</v>
      </c>
      <c r="F24" s="495">
        <v>201</v>
      </c>
      <c r="G24" s="494">
        <f t="shared" si="0"/>
        <v>0.57428571428571429</v>
      </c>
    </row>
    <row r="25" spans="1:7" ht="19.5" customHeight="1" x14ac:dyDescent="0.25">
      <c r="A25" s="485" t="s">
        <v>560</v>
      </c>
      <c r="D25" s="493"/>
      <c r="E25" s="493">
        <v>1200</v>
      </c>
      <c r="F25" s="495">
        <v>1177</v>
      </c>
      <c r="G25" s="494">
        <f t="shared" si="0"/>
        <v>0.98083333333333333</v>
      </c>
    </row>
    <row r="26" spans="1:7" ht="18.75" customHeight="1" x14ac:dyDescent="0.25">
      <c r="A26" s="485" t="s">
        <v>561</v>
      </c>
      <c r="D26" s="493"/>
      <c r="E26" s="493">
        <v>200</v>
      </c>
      <c r="F26" s="495">
        <v>239</v>
      </c>
      <c r="G26" s="494">
        <f t="shared" si="0"/>
        <v>1.1950000000000001</v>
      </c>
    </row>
    <row r="27" spans="1:7" ht="19.5" customHeight="1" x14ac:dyDescent="0.25">
      <c r="A27" s="485" t="s">
        <v>562</v>
      </c>
      <c r="D27" s="493"/>
      <c r="E27" s="493">
        <v>800</v>
      </c>
      <c r="F27" s="495">
        <v>247</v>
      </c>
      <c r="G27" s="494">
        <f t="shared" si="0"/>
        <v>0.30875000000000002</v>
      </c>
    </row>
    <row r="28" spans="1:7" ht="21.75" customHeight="1" x14ac:dyDescent="0.25">
      <c r="A28" s="485" t="s">
        <v>563</v>
      </c>
      <c r="D28" s="493"/>
      <c r="E28" s="493">
        <v>305</v>
      </c>
      <c r="F28" s="495">
        <v>305</v>
      </c>
      <c r="G28" s="494">
        <f t="shared" si="0"/>
        <v>1</v>
      </c>
    </row>
    <row r="29" spans="1:7" ht="18.75" customHeight="1" x14ac:dyDescent="0.25">
      <c r="A29" s="485" t="s">
        <v>564</v>
      </c>
      <c r="D29" s="493"/>
      <c r="E29" s="493">
        <v>150</v>
      </c>
      <c r="F29" s="495">
        <v>0</v>
      </c>
      <c r="G29" s="494">
        <f t="shared" si="0"/>
        <v>0</v>
      </c>
    </row>
    <row r="30" spans="1:7" ht="18.75" customHeight="1" x14ac:dyDescent="0.25">
      <c r="A30" s="485" t="s">
        <v>565</v>
      </c>
      <c r="D30" s="490"/>
      <c r="E30" s="490">
        <f>SUM(E20:E29)</f>
        <v>42768</v>
      </c>
      <c r="F30" s="491">
        <f>SUM(F20:F29)</f>
        <v>40770</v>
      </c>
      <c r="G30" s="492">
        <f t="shared" si="0"/>
        <v>0.95328282828282829</v>
      </c>
    </row>
    <row r="31" spans="1:7" ht="18.75" customHeight="1" x14ac:dyDescent="0.25"/>
    <row r="33" spans="5:6" ht="15.75" x14ac:dyDescent="0.25">
      <c r="E33" s="488" t="s">
        <v>566</v>
      </c>
      <c r="F33" s="498">
        <v>2</v>
      </c>
    </row>
  </sheetData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8" sqref="J8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22</vt:i4>
      </vt:variant>
      <vt:variant>
        <vt:lpstr>Névvel ellátott tartományok</vt:lpstr>
      </vt:variant>
      <vt:variant>
        <vt:i4>7</vt:i4>
      </vt:variant>
    </vt:vector>
  </HeadingPairs>
  <TitlesOfParts>
    <vt:vector size="29" baseType="lpstr">
      <vt:lpstr>1</vt:lpstr>
      <vt:lpstr>1 (szegedi)</vt:lpstr>
      <vt:lpstr>1 (visegrádi)</vt:lpstr>
      <vt:lpstr>2</vt:lpstr>
      <vt:lpstr>3</vt:lpstr>
      <vt:lpstr>4</vt:lpstr>
      <vt:lpstr>5</vt:lpstr>
      <vt:lpstr>6 (státusz)</vt:lpstr>
      <vt:lpstr>6 (statisztikai)</vt:lpstr>
      <vt:lpstr>7</vt:lpstr>
      <vt:lpstr>8</vt:lpstr>
      <vt:lpstr>9</vt:lpstr>
      <vt:lpstr>10</vt:lpstr>
      <vt:lpstr>11. beruházás összesen</vt:lpstr>
      <vt:lpstr>11. beruházás részletes</vt:lpstr>
      <vt:lpstr>Eszközök</vt:lpstr>
      <vt:lpstr>Források</vt:lpstr>
      <vt:lpstr>Eredmény</vt:lpstr>
      <vt:lpstr>Szegedi társasház</vt:lpstr>
      <vt:lpstr>Visegrádi társasház</vt:lpstr>
      <vt:lpstr>Munka5</vt:lpstr>
      <vt:lpstr>Munka3</vt:lpstr>
      <vt:lpstr>'10'!Nyomtatási_terület</vt:lpstr>
      <vt:lpstr>'11. beruházás részletes'!Nyomtatási_terület</vt:lpstr>
      <vt:lpstr>'2'!Nyomtatási_terület</vt:lpstr>
      <vt:lpstr>'5'!Nyomtatási_terület</vt:lpstr>
      <vt:lpstr>'7'!Nyomtatási_terület</vt:lpstr>
      <vt:lpstr>'8'!Nyomtatási_terület</vt:lpstr>
      <vt:lpstr>'9'!Nyomtatási_terület</vt:lpstr>
    </vt:vector>
  </TitlesOfParts>
  <Company>XIII. Ker. EuSzolg.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</dc:creator>
  <cp:lastModifiedBy>Ottinger Vilmos</cp:lastModifiedBy>
  <cp:lastPrinted>2015-05-18T14:04:22Z</cp:lastPrinted>
  <dcterms:created xsi:type="dcterms:W3CDTF">2006-07-06T11:18:18Z</dcterms:created>
  <dcterms:modified xsi:type="dcterms:W3CDTF">2015-05-18T14:04:25Z</dcterms:modified>
</cp:coreProperties>
</file>