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tinger.Vilmos\Documents\Dokumentumok1\2015\Beszámoló 2015\"/>
    </mc:Choice>
  </mc:AlternateContent>
  <bookViews>
    <workbookView xWindow="0" yWindow="0" windowWidth="20490" windowHeight="7755"/>
  </bookViews>
  <sheets>
    <sheet name="1" sheetId="4441" r:id="rId1"/>
    <sheet name="1 (szegedi)" sheetId="4442" r:id="rId2"/>
    <sheet name="1 (visegrádi)" sheetId="4443" r:id="rId3"/>
    <sheet name="2" sheetId="4444" r:id="rId4"/>
    <sheet name="3" sheetId="4445" r:id="rId5"/>
    <sheet name="4" sheetId="4446" r:id="rId6"/>
    <sheet name="5" sheetId="1" r:id="rId7"/>
    <sheet name="6 (állományi)" sheetId="4447" state="hidden" r:id="rId8"/>
    <sheet name="6 (statisztikai)" sheetId="4448" r:id="rId9"/>
    <sheet name="7" sheetId="2" r:id="rId10"/>
    <sheet name="8" sheetId="3" r:id="rId11"/>
    <sheet name="9" sheetId="200" r:id="rId12"/>
    <sheet name="10" sheetId="4440" r:id="rId13"/>
    <sheet name="10 (egyenleg)" sheetId="124" state="hidden" r:id="rId14"/>
    <sheet name="Beruházás" sheetId="4455" r:id="rId15"/>
    <sheet name="Beruházás2" sheetId="4456" r:id="rId16"/>
    <sheet name="Eszközök" sheetId="4457" r:id="rId17"/>
    <sheet name="Források" sheetId="4458" r:id="rId18"/>
    <sheet name="Eredmény" sheetId="4459" r:id="rId19"/>
    <sheet name="Szegedi" sheetId="4462" r:id="rId20"/>
    <sheet name="Visegrádi" sheetId="4463" r:id="rId21"/>
  </sheets>
  <definedNames>
    <definedName name="_xlnm.Print_Area" localSheetId="12">'10'!$A$1:$F$6</definedName>
    <definedName name="_xlnm.Print_Area" localSheetId="3">'2'!$A$1:$J$42</definedName>
    <definedName name="_xlnm.Print_Area" localSheetId="6">'5'!$A$1:$P$26</definedName>
    <definedName name="_xlnm.Print_Area" localSheetId="9">'7'!$A$1:$N$41</definedName>
    <definedName name="_xlnm.Print_Area" localSheetId="10">'8'!$A$1:$F$8</definedName>
    <definedName name="_xlnm.Print_Area" localSheetId="11">'9'!$A$1:$F$24</definedName>
  </definedNames>
  <calcPr calcId="152511"/>
</workbook>
</file>

<file path=xl/calcChain.xml><?xml version="1.0" encoding="utf-8"?>
<calcChain xmlns="http://schemas.openxmlformats.org/spreadsheetml/2006/main">
  <c r="F30" i="4463" l="1"/>
  <c r="G30" i="4463" s="1"/>
  <c r="E30" i="4463"/>
  <c r="G29" i="4463"/>
  <c r="G28" i="4463"/>
  <c r="G27" i="4463"/>
  <c r="G26" i="4463"/>
  <c r="G25" i="4463"/>
  <c r="G24" i="4463"/>
  <c r="G23" i="4463"/>
  <c r="G22" i="4463"/>
  <c r="G21" i="4463"/>
  <c r="G20" i="4463"/>
  <c r="G14" i="4463"/>
  <c r="F30" i="4462"/>
  <c r="G30" i="4462" s="1"/>
  <c r="E30" i="4462"/>
  <c r="G29" i="4462"/>
  <c r="G28" i="4462"/>
  <c r="G27" i="4462"/>
  <c r="G26" i="4462"/>
  <c r="G25" i="4462"/>
  <c r="G24" i="4462"/>
  <c r="G23" i="4462"/>
  <c r="G22" i="4462"/>
  <c r="G21" i="4462"/>
  <c r="G20" i="4462"/>
  <c r="G14" i="4462"/>
  <c r="Q17" i="4445" l="1"/>
  <c r="P17" i="4445"/>
  <c r="E54" i="4459" l="1"/>
  <c r="D54" i="4459"/>
  <c r="E49" i="4459"/>
  <c r="D49" i="4459"/>
  <c r="E41" i="4459"/>
  <c r="E50" i="4459" s="1"/>
  <c r="D41" i="4459"/>
  <c r="D50" i="4459" s="1"/>
  <c r="E26" i="4459"/>
  <c r="D26" i="4459"/>
  <c r="D22" i="4459"/>
  <c r="E21" i="4459"/>
  <c r="E18" i="4459"/>
  <c r="E13" i="4459"/>
  <c r="D13" i="4459"/>
  <c r="E9" i="4459"/>
  <c r="D9" i="4459"/>
  <c r="A8" i="4459"/>
  <c r="A9" i="4459" s="1"/>
  <c r="A10" i="4459" s="1"/>
  <c r="A11" i="4459" s="1"/>
  <c r="A12" i="4459" s="1"/>
  <c r="A13" i="4459" s="1"/>
  <c r="A16" i="4459" s="1"/>
  <c r="A17" i="4459" s="1"/>
  <c r="A18" i="4459" s="1"/>
  <c r="A19" i="4459" s="1"/>
  <c r="A20" i="4459" s="1"/>
  <c r="A21" i="4459" s="1"/>
  <c r="A22" i="4459" s="1"/>
  <c r="A23" i="4459" s="1"/>
  <c r="A24" i="4459" s="1"/>
  <c r="A25" i="4459" s="1"/>
  <c r="A26" i="4459" s="1"/>
  <c r="A27" i="4459" s="1"/>
  <c r="A28" i="4459" s="1"/>
  <c r="A29" i="4459" s="1"/>
  <c r="A30" i="4459" s="1"/>
  <c r="A31" i="4459" s="1"/>
  <c r="A32" i="4459" s="1"/>
  <c r="A33" i="4459" s="1"/>
  <c r="A34" i="4459" s="1"/>
  <c r="A35" i="4459" s="1"/>
  <c r="A36" i="4459" s="1"/>
  <c r="A37" i="4459" s="1"/>
  <c r="A38" i="4459" s="1"/>
  <c r="A39" i="4459" s="1"/>
  <c r="A40" i="4459" s="1"/>
  <c r="A41" i="4459" s="1"/>
  <c r="A42" i="4459" s="1"/>
  <c r="A43" i="4459" s="1"/>
  <c r="A44" i="4459" s="1"/>
  <c r="A45" i="4459" s="1"/>
  <c r="A46" i="4459" s="1"/>
  <c r="A47" i="4459" s="1"/>
  <c r="A48" i="4459" s="1"/>
  <c r="A49" i="4459" s="1"/>
  <c r="A50" i="4459" s="1"/>
  <c r="A51" i="4459" s="1"/>
  <c r="A52" i="4459" s="1"/>
  <c r="A53" i="4459" s="1"/>
  <c r="A54" i="4459" s="1"/>
  <c r="A55" i="4459" s="1"/>
  <c r="A56" i="4459" s="1"/>
  <c r="A57" i="4459" s="1"/>
  <c r="A58" i="4459" s="1"/>
  <c r="A59" i="4459" s="1"/>
  <c r="A60" i="4459" s="1"/>
  <c r="D7" i="4459"/>
  <c r="E47" i="4458"/>
  <c r="D47" i="4458"/>
  <c r="E34" i="4458"/>
  <c r="D34" i="4458"/>
  <c r="D20" i="4458" s="1"/>
  <c r="E20" i="4458"/>
  <c r="A6" i="4458"/>
  <c r="A7" i="4458" s="1"/>
  <c r="A8" i="4458" s="1"/>
  <c r="A9" i="4458" s="1"/>
  <c r="A10" i="4458" s="1"/>
  <c r="A11" i="4458" s="1"/>
  <c r="A12" i="4458" s="1"/>
  <c r="A13" i="4458" s="1"/>
  <c r="A14" i="4458" s="1"/>
  <c r="A15" i="4458" s="1"/>
  <c r="A16" i="4458" s="1"/>
  <c r="A17" i="4458" s="1"/>
  <c r="A18" i="4458" s="1"/>
  <c r="A19" i="4458" s="1"/>
  <c r="A20" i="4458" s="1"/>
  <c r="A21" i="4458" s="1"/>
  <c r="A22" i="4458" s="1"/>
  <c r="A23" i="4458" s="1"/>
  <c r="A24" i="4458" s="1"/>
  <c r="A25" i="4458" s="1"/>
  <c r="A26" i="4458" s="1"/>
  <c r="A27" i="4458" s="1"/>
  <c r="A28" i="4458" s="1"/>
  <c r="A29" i="4458" s="1"/>
  <c r="A30" i="4458" s="1"/>
  <c r="A31" i="4458" s="1"/>
  <c r="A32" i="4458" s="1"/>
  <c r="A33" i="4458" s="1"/>
  <c r="A34" i="4458" s="1"/>
  <c r="A35" i="4458" s="1"/>
  <c r="A36" i="4458" s="1"/>
  <c r="A37" i="4458" s="1"/>
  <c r="A38" i="4458" s="1"/>
  <c r="A39" i="4458" s="1"/>
  <c r="A41" i="4458" s="1"/>
  <c r="A42" i="4458" s="1"/>
  <c r="A43" i="4458" s="1"/>
  <c r="A44" i="4458" s="1"/>
  <c r="A45" i="4458" s="1"/>
  <c r="A46" i="4458" s="1"/>
  <c r="A47" i="4458" s="1"/>
  <c r="A48" i="4458" s="1"/>
  <c r="A49" i="4458" s="1"/>
  <c r="A50" i="4458" s="1"/>
  <c r="A51" i="4458" s="1"/>
  <c r="E5" i="4458"/>
  <c r="D5" i="4458"/>
  <c r="E56" i="4457"/>
  <c r="D56" i="4457"/>
  <c r="E53" i="4457"/>
  <c r="D53" i="4457"/>
  <c r="E39" i="4457"/>
  <c r="D39" i="4457"/>
  <c r="E32" i="4457"/>
  <c r="E31" i="4457" s="1"/>
  <c r="D32" i="4457"/>
  <c r="D31" i="4457" s="1"/>
  <c r="E22" i="4457"/>
  <c r="D22" i="4457"/>
  <c r="D5" i="4457" s="1"/>
  <c r="D60" i="4457" s="1"/>
  <c r="E14" i="4457"/>
  <c r="D14" i="4457"/>
  <c r="A7" i="4457"/>
  <c r="A8" i="4457" s="1"/>
  <c r="A9" i="4457" s="1"/>
  <c r="A10" i="4457" s="1"/>
  <c r="A11" i="4457" s="1"/>
  <c r="A12" i="4457" s="1"/>
  <c r="A13" i="4457" s="1"/>
  <c r="A14" i="4457" s="1"/>
  <c r="A15" i="4457" s="1"/>
  <c r="A16" i="4457" s="1"/>
  <c r="A17" i="4457" s="1"/>
  <c r="A18" i="4457" s="1"/>
  <c r="A19" i="4457" s="1"/>
  <c r="A20" i="4457" s="1"/>
  <c r="A21" i="4457" s="1"/>
  <c r="A22" i="4457" s="1"/>
  <c r="A23" i="4457" s="1"/>
  <c r="A24" i="4457" s="1"/>
  <c r="A25" i="4457" s="1"/>
  <c r="A26" i="4457" s="1"/>
  <c r="A27" i="4457" s="1"/>
  <c r="A28" i="4457" s="1"/>
  <c r="A29" i="4457" s="1"/>
  <c r="A30" i="4457" s="1"/>
  <c r="A31" i="4457" s="1"/>
  <c r="A32" i="4457" s="1"/>
  <c r="A33" i="4457" s="1"/>
  <c r="A34" i="4457" s="1"/>
  <c r="A35" i="4457" s="1"/>
  <c r="A36" i="4457" s="1"/>
  <c r="A37" i="4457" s="1"/>
  <c r="A38" i="4457" s="1"/>
  <c r="A39" i="4457" s="1"/>
  <c r="A40" i="4457" s="1"/>
  <c r="A41" i="4457" s="1"/>
  <c r="A42" i="4457" s="1"/>
  <c r="A43" i="4457" s="1"/>
  <c r="A44" i="4457" s="1"/>
  <c r="A45" i="4457" s="1"/>
  <c r="A46" i="4457" s="1"/>
  <c r="A47" i="4457" s="1"/>
  <c r="A48" i="4457" s="1"/>
  <c r="A49" i="4457" s="1"/>
  <c r="A50" i="4457" s="1"/>
  <c r="A51" i="4457" s="1"/>
  <c r="A52" i="4457" s="1"/>
  <c r="A53" i="4457" s="1"/>
  <c r="A54" i="4457" s="1"/>
  <c r="A55" i="4457" s="1"/>
  <c r="A56" i="4457" s="1"/>
  <c r="A57" i="4457" s="1"/>
  <c r="A58" i="4457" s="1"/>
  <c r="A59" i="4457" s="1"/>
  <c r="A60" i="4457" s="1"/>
  <c r="E6" i="4457"/>
  <c r="E5" i="4457" s="1"/>
  <c r="E60" i="4457" s="1"/>
  <c r="D6" i="4457"/>
  <c r="E51" i="4458" l="1"/>
  <c r="D30" i="4459"/>
  <c r="D51" i="4459" s="1"/>
  <c r="D55" i="4459" s="1"/>
  <c r="D57" i="4459" s="1"/>
  <c r="D60" i="4459" s="1"/>
  <c r="E22" i="4459"/>
  <c r="D51" i="4458"/>
  <c r="E30" i="4459"/>
  <c r="E51" i="4459" s="1"/>
  <c r="E55" i="4459" s="1"/>
  <c r="E57" i="4459" s="1"/>
  <c r="E60" i="4459" s="1"/>
  <c r="K15" i="4445" l="1"/>
  <c r="E15" i="4445"/>
  <c r="G15" i="4445"/>
  <c r="O15" i="4445"/>
  <c r="I15" i="4445"/>
  <c r="C15" i="4445"/>
  <c r="M15" i="4445"/>
  <c r="F16" i="4446"/>
  <c r="G14" i="4456"/>
  <c r="F14" i="4456"/>
  <c r="D14" i="4456"/>
  <c r="C14" i="4456"/>
  <c r="B14" i="4456"/>
  <c r="H11" i="4456"/>
  <c r="H9" i="4456"/>
  <c r="H8" i="4456"/>
  <c r="H14" i="4456" l="1"/>
  <c r="D103" i="4455"/>
  <c r="D94" i="4455"/>
  <c r="E92" i="4455"/>
  <c r="E88" i="4455"/>
  <c r="D81" i="4455"/>
  <c r="E79" i="4455"/>
  <c r="D72" i="4455"/>
  <c r="E71" i="4455"/>
  <c r="E60" i="4455"/>
  <c r="E56" i="4455"/>
  <c r="E10" i="4455"/>
  <c r="E107" i="4455" s="1"/>
  <c r="Q15" i="4445" l="1"/>
  <c r="H15" i="4445"/>
  <c r="D15" i="4445"/>
  <c r="P15" i="4445" s="1"/>
  <c r="N15" i="4445"/>
  <c r="F15" i="4445"/>
  <c r="B15" i="4445"/>
  <c r="J15" i="4445"/>
  <c r="L15" i="4445"/>
  <c r="C12" i="4445"/>
  <c r="I12" i="4445"/>
  <c r="K12" i="4445"/>
  <c r="G12" i="4445"/>
  <c r="E12" i="4445"/>
  <c r="E13" i="4445"/>
  <c r="C13" i="4445"/>
  <c r="Q13" i="4445" s="1"/>
  <c r="M12" i="4445"/>
  <c r="I13" i="4445"/>
  <c r="O13" i="4445"/>
  <c r="K13" i="4445"/>
  <c r="G13" i="4445"/>
  <c r="M13" i="4445"/>
  <c r="K14" i="4445"/>
  <c r="C14" i="4445"/>
  <c r="Q14" i="4445" s="1"/>
  <c r="E14" i="4445"/>
  <c r="O14" i="4445"/>
  <c r="I14" i="4445"/>
  <c r="G14" i="4445"/>
  <c r="Q12" i="4445"/>
  <c r="M14" i="4445"/>
  <c r="P14" i="4445" l="1"/>
  <c r="P13" i="4445"/>
  <c r="E14" i="4446" l="1"/>
  <c r="G14" i="4446" s="1"/>
  <c r="E15" i="4446"/>
  <c r="G15" i="4446" s="1"/>
  <c r="E16" i="4446"/>
  <c r="G16" i="4446" s="1"/>
  <c r="F17" i="4446"/>
  <c r="D17" i="4446"/>
  <c r="C17" i="4446"/>
  <c r="B17" i="4446"/>
  <c r="N16" i="4445" l="1"/>
  <c r="L16" i="4445"/>
  <c r="J16" i="4445"/>
  <c r="F16" i="4445"/>
  <c r="D16" i="4445"/>
  <c r="B16" i="4445"/>
  <c r="D3" i="1"/>
  <c r="C3" i="1"/>
  <c r="G3" i="1"/>
  <c r="F3" i="1"/>
  <c r="J3" i="1"/>
  <c r="D34" i="124"/>
  <c r="K11" i="2"/>
  <c r="E9" i="4445" l="1"/>
  <c r="C9" i="4445"/>
  <c r="G9" i="4445"/>
  <c r="Q9" i="4445" s="1"/>
  <c r="I9" i="4445"/>
  <c r="O9" i="4445"/>
  <c r="K9" i="4445"/>
  <c r="M9" i="4445"/>
  <c r="O10" i="4445"/>
  <c r="G10" i="4445"/>
  <c r="E10" i="4445"/>
  <c r="I10" i="4445"/>
  <c r="K10" i="4445"/>
  <c r="C10" i="4445"/>
  <c r="O11" i="4445"/>
  <c r="C11" i="4445"/>
  <c r="I11" i="4445"/>
  <c r="E11" i="4445"/>
  <c r="K11" i="4445"/>
  <c r="G11" i="4445"/>
  <c r="Q18" i="4447"/>
  <c r="K22" i="4448" l="1"/>
  <c r="K21" i="4448"/>
  <c r="K20" i="4448"/>
  <c r="K19" i="4448"/>
  <c r="K18" i="4448"/>
  <c r="K17" i="4448"/>
  <c r="K16" i="4448"/>
  <c r="K22" i="4447"/>
  <c r="K21" i="4447"/>
  <c r="K20" i="4447"/>
  <c r="K19" i="4447"/>
  <c r="K18" i="4447"/>
  <c r="K17" i="4447"/>
  <c r="K16" i="4447"/>
  <c r="P10" i="4445"/>
  <c r="Q10" i="4445"/>
  <c r="P11" i="4445"/>
  <c r="Q11" i="4445"/>
  <c r="P12" i="4445"/>
  <c r="I3" i="1"/>
  <c r="B39" i="124" l="1"/>
  <c r="B38" i="124"/>
  <c r="B30" i="124"/>
  <c r="B29" i="124"/>
  <c r="B28" i="124"/>
  <c r="B27" i="124"/>
  <c r="B26" i="124"/>
  <c r="B25" i="124"/>
  <c r="B24" i="124"/>
  <c r="B22" i="124"/>
  <c r="B21" i="124"/>
  <c r="B20" i="124"/>
  <c r="B19" i="124"/>
  <c r="B18" i="124"/>
  <c r="B17" i="124"/>
  <c r="B16" i="124"/>
  <c r="B15" i="124"/>
  <c r="B14" i="124"/>
  <c r="B13" i="124"/>
  <c r="B7" i="124"/>
  <c r="C6" i="4440"/>
  <c r="B8" i="124" s="1"/>
  <c r="C21" i="200"/>
  <c r="C23" i="200" s="1"/>
  <c r="C8" i="3"/>
  <c r="B5" i="124" s="1"/>
  <c r="D40" i="2"/>
  <c r="C40" i="2"/>
  <c r="E39" i="2"/>
  <c r="E38" i="2"/>
  <c r="E37" i="2"/>
  <c r="E36" i="2"/>
  <c r="E35" i="2"/>
  <c r="E34" i="2"/>
  <c r="E33" i="2"/>
  <c r="E32" i="2"/>
  <c r="D30" i="2"/>
  <c r="C30" i="2"/>
  <c r="E29" i="2"/>
  <c r="E28" i="2"/>
  <c r="E27" i="2"/>
  <c r="E26" i="2"/>
  <c r="E25" i="2"/>
  <c r="E24" i="2"/>
  <c r="E23" i="2"/>
  <c r="E22" i="2"/>
  <c r="E21" i="2"/>
  <c r="E20" i="2"/>
  <c r="D19" i="2"/>
  <c r="C19" i="2"/>
  <c r="E18" i="2"/>
  <c r="E17" i="2"/>
  <c r="E16" i="2"/>
  <c r="E15" i="2"/>
  <c r="E14" i="2"/>
  <c r="E13" i="2"/>
  <c r="E12" i="2"/>
  <c r="E10" i="2"/>
  <c r="E9" i="2"/>
  <c r="E8" i="2"/>
  <c r="E7" i="2"/>
  <c r="E6" i="2"/>
  <c r="E5" i="2"/>
  <c r="E4" i="2"/>
  <c r="E3" i="2"/>
  <c r="E11" i="1"/>
  <c r="E30" i="2" l="1"/>
  <c r="B3" i="124" s="1"/>
  <c r="E19" i="2"/>
  <c r="B2" i="124" s="1"/>
  <c r="B6" i="124"/>
  <c r="E40" i="2"/>
  <c r="B4" i="124" s="1"/>
  <c r="D31" i="2"/>
  <c r="D41" i="2" s="1"/>
  <c r="C31" i="2"/>
  <c r="C41" i="2" s="1"/>
  <c r="E31" i="2" l="1"/>
  <c r="E41" i="2" s="1"/>
  <c r="B10" i="124"/>
  <c r="D23" i="1"/>
  <c r="D26" i="1" s="1"/>
  <c r="C23" i="1"/>
  <c r="E22" i="1"/>
  <c r="B37" i="124" s="1"/>
  <c r="E21" i="1"/>
  <c r="B36" i="124" s="1"/>
  <c r="E20" i="1"/>
  <c r="B35" i="124" s="1"/>
  <c r="E18" i="1"/>
  <c r="B33" i="124" s="1"/>
  <c r="E17" i="1"/>
  <c r="B32" i="124" s="1"/>
  <c r="E16" i="1"/>
  <c r="E15" i="1"/>
  <c r="E14" i="1"/>
  <c r="E13" i="1"/>
  <c r="E12" i="1"/>
  <c r="E10" i="1"/>
  <c r="E9" i="1"/>
  <c r="E8" i="1"/>
  <c r="E7" i="1"/>
  <c r="E6" i="1"/>
  <c r="E5" i="1"/>
  <c r="E4" i="1"/>
  <c r="B23" i="124"/>
  <c r="B12" i="124"/>
  <c r="B31" i="124" l="1"/>
  <c r="B40" i="124" s="1"/>
  <c r="B42" i="124" s="1"/>
  <c r="E23" i="1"/>
  <c r="E26" i="1" s="1"/>
  <c r="E3" i="1"/>
  <c r="C26" i="1"/>
  <c r="E5" i="4446" l="1"/>
  <c r="E6" i="4446"/>
  <c r="E7" i="4446"/>
  <c r="E8" i="4446"/>
  <c r="E9" i="4446"/>
  <c r="E10" i="4446"/>
  <c r="O8" i="4445"/>
  <c r="C8" i="4445"/>
  <c r="E8" i="4445"/>
  <c r="I8" i="4445"/>
  <c r="G8" i="4445"/>
  <c r="K8" i="4445"/>
  <c r="M8" i="4445"/>
  <c r="B22" i="4444"/>
  <c r="E4" i="4446" l="1"/>
  <c r="E3" i="4446"/>
  <c r="C7" i="4445" l="1"/>
  <c r="E7" i="4445"/>
  <c r="O7" i="4445"/>
  <c r="I7" i="4445"/>
  <c r="G7" i="4445"/>
  <c r="K7" i="4445"/>
  <c r="M7" i="4445"/>
  <c r="E6" i="4445"/>
  <c r="O6" i="4445"/>
  <c r="I6" i="4445"/>
  <c r="G6" i="4445"/>
  <c r="C6" i="4445"/>
  <c r="K6" i="4445"/>
  <c r="M6" i="4445"/>
  <c r="I5" i="4445"/>
  <c r="C5" i="4445"/>
  <c r="O5" i="4445"/>
  <c r="G5" i="4445"/>
  <c r="E5" i="4445"/>
  <c r="K5" i="4445"/>
  <c r="M5" i="4445"/>
  <c r="I4" i="4445"/>
  <c r="K4" i="4445"/>
  <c r="K16" i="4445" s="1"/>
  <c r="O4" i="4445"/>
  <c r="G4" i="4445"/>
  <c r="C4" i="4445"/>
  <c r="C16" i="4445" s="1"/>
  <c r="E4" i="4445"/>
  <c r="E16" i="4445" s="1"/>
  <c r="M4" i="4445"/>
  <c r="I16" i="4445" l="1"/>
  <c r="G16" i="4445"/>
  <c r="M16" i="4445"/>
  <c r="O16" i="4445"/>
  <c r="P17" i="4448"/>
  <c r="P18" i="4448"/>
  <c r="P19" i="4448"/>
  <c r="P20" i="4448"/>
  <c r="P21" i="4448"/>
  <c r="P22" i="4448"/>
  <c r="N17" i="4448"/>
  <c r="N18" i="4448"/>
  <c r="N19" i="4448"/>
  <c r="N20" i="4448"/>
  <c r="N21" i="4448"/>
  <c r="N22" i="4448"/>
  <c r="L17" i="4448"/>
  <c r="L18" i="4448"/>
  <c r="L19" i="4448"/>
  <c r="L20" i="4448"/>
  <c r="L21" i="4448"/>
  <c r="L22" i="4448"/>
  <c r="J17" i="4448"/>
  <c r="J18" i="4448"/>
  <c r="J19" i="4448"/>
  <c r="J20" i="4448"/>
  <c r="J21" i="4448"/>
  <c r="J22" i="4448"/>
  <c r="J17" i="4447"/>
  <c r="J18" i="4447"/>
  <c r="J19" i="4447"/>
  <c r="J20" i="4447"/>
  <c r="J21" i="4447"/>
  <c r="J22" i="4447"/>
  <c r="J16" i="4448"/>
  <c r="J16" i="4447"/>
  <c r="H8" i="4445" l="1"/>
  <c r="H7" i="4445"/>
  <c r="H6" i="4445"/>
  <c r="H5" i="4445"/>
  <c r="H4" i="4445"/>
  <c r="U23" i="4448"/>
  <c r="T23" i="4448"/>
  <c r="I23" i="4448"/>
  <c r="H23" i="4448"/>
  <c r="G23" i="4448"/>
  <c r="F23" i="4448"/>
  <c r="E23" i="4448"/>
  <c r="D23" i="4448"/>
  <c r="C23" i="4448"/>
  <c r="B23" i="4448"/>
  <c r="Q22" i="4448"/>
  <c r="O22" i="4448"/>
  <c r="M22" i="4448"/>
  <c r="Q21" i="4448"/>
  <c r="O21" i="4448"/>
  <c r="M21" i="4448"/>
  <c r="R21" i="4448"/>
  <c r="Q20" i="4448"/>
  <c r="O20" i="4448"/>
  <c r="M20" i="4448"/>
  <c r="R20" i="4448"/>
  <c r="Q19" i="4448"/>
  <c r="O19" i="4448"/>
  <c r="M19" i="4448"/>
  <c r="R19" i="4448"/>
  <c r="Q18" i="4448"/>
  <c r="O18" i="4448"/>
  <c r="M18" i="4448"/>
  <c r="R18" i="4448"/>
  <c r="Q17" i="4448"/>
  <c r="O17" i="4448"/>
  <c r="M17" i="4448"/>
  <c r="R17" i="4448"/>
  <c r="Q16" i="4448"/>
  <c r="P16" i="4448"/>
  <c r="O16" i="4448"/>
  <c r="N16" i="4448"/>
  <c r="M16" i="4448"/>
  <c r="L16" i="4448"/>
  <c r="K23" i="4448"/>
  <c r="J23" i="4448"/>
  <c r="C15" i="4448"/>
  <c r="B15" i="4448"/>
  <c r="Q11" i="4448"/>
  <c r="P11" i="4448"/>
  <c r="O11" i="4448"/>
  <c r="N11" i="4448"/>
  <c r="M11" i="4448"/>
  <c r="L11" i="4448"/>
  <c r="K11" i="4448"/>
  <c r="J11" i="4448"/>
  <c r="I11" i="4448"/>
  <c r="H11" i="4448"/>
  <c r="G11" i="4448"/>
  <c r="F11" i="4448"/>
  <c r="E11" i="4448"/>
  <c r="D11" i="4448"/>
  <c r="C11" i="4448"/>
  <c r="B11" i="4448"/>
  <c r="E3" i="4448"/>
  <c r="E15" i="4448" s="1"/>
  <c r="D3" i="4448"/>
  <c r="D15" i="4448" s="1"/>
  <c r="U23" i="4447"/>
  <c r="T23" i="4447"/>
  <c r="I23" i="4447"/>
  <c r="H23" i="4447"/>
  <c r="G23" i="4447"/>
  <c r="F23" i="4447"/>
  <c r="E23" i="4447"/>
  <c r="D23" i="4447"/>
  <c r="C23" i="4447"/>
  <c r="B23" i="4447"/>
  <c r="Q22" i="4447"/>
  <c r="P22" i="4447"/>
  <c r="O22" i="4447"/>
  <c r="N22" i="4447"/>
  <c r="M22" i="4447"/>
  <c r="L22" i="4447"/>
  <c r="R22" i="4447" s="1"/>
  <c r="S22" i="4447"/>
  <c r="Q21" i="4447"/>
  <c r="P21" i="4447"/>
  <c r="O21" i="4447"/>
  <c r="N21" i="4447"/>
  <c r="M21" i="4447"/>
  <c r="L21" i="4447"/>
  <c r="S21" i="4447"/>
  <c r="Q20" i="4447"/>
  <c r="P20" i="4447"/>
  <c r="O20" i="4447"/>
  <c r="N20" i="4447"/>
  <c r="M20" i="4447"/>
  <c r="S20" i="4447" s="1"/>
  <c r="L20" i="4447"/>
  <c r="R20" i="4447" s="1"/>
  <c r="Q19" i="4447"/>
  <c r="P19" i="4447"/>
  <c r="O19" i="4447"/>
  <c r="N19" i="4447"/>
  <c r="M19" i="4447"/>
  <c r="L19" i="4447"/>
  <c r="R19" i="4447" s="1"/>
  <c r="S19" i="4447"/>
  <c r="P18" i="4447"/>
  <c r="O18" i="4447"/>
  <c r="N18" i="4447"/>
  <c r="M18" i="4447"/>
  <c r="L18" i="4447"/>
  <c r="Q17" i="4447"/>
  <c r="P17" i="4447"/>
  <c r="O17" i="4447"/>
  <c r="S17" i="4447" s="1"/>
  <c r="N17" i="4447"/>
  <c r="M17" i="4447"/>
  <c r="L17" i="4447"/>
  <c r="R17" i="4447" s="1"/>
  <c r="Q16" i="4447"/>
  <c r="P16" i="4447"/>
  <c r="O16" i="4447"/>
  <c r="N16" i="4447"/>
  <c r="M16" i="4447"/>
  <c r="L16" i="4447"/>
  <c r="K23" i="4447"/>
  <c r="J23" i="4447"/>
  <c r="C15" i="4447"/>
  <c r="B15" i="4447"/>
  <c r="Q11" i="4447"/>
  <c r="P11" i="4447"/>
  <c r="O11" i="4447"/>
  <c r="N11" i="4447"/>
  <c r="M11" i="4447"/>
  <c r="L11" i="4447"/>
  <c r="K11" i="4447"/>
  <c r="J11" i="4447"/>
  <c r="I11" i="4447"/>
  <c r="H11" i="4447"/>
  <c r="G11" i="4447"/>
  <c r="F11" i="4447"/>
  <c r="E11" i="4447"/>
  <c r="D11" i="4447"/>
  <c r="C11" i="4447"/>
  <c r="B11" i="4447"/>
  <c r="E3" i="4447"/>
  <c r="E15" i="4447" s="1"/>
  <c r="D3" i="4447"/>
  <c r="D15" i="4447" s="1"/>
  <c r="E13" i="4446"/>
  <c r="G13" i="4446" s="1"/>
  <c r="E12" i="4446"/>
  <c r="G12" i="4446" s="1"/>
  <c r="E11" i="4446"/>
  <c r="G10" i="4446"/>
  <c r="G9" i="4446"/>
  <c r="G8" i="4446"/>
  <c r="G7" i="4446"/>
  <c r="G6" i="4446"/>
  <c r="G5" i="4446"/>
  <c r="G4" i="4446"/>
  <c r="G3" i="4446"/>
  <c r="P8" i="4445"/>
  <c r="Q8" i="4445"/>
  <c r="P7" i="4445"/>
  <c r="Q7" i="4445"/>
  <c r="P6" i="4445"/>
  <c r="Q6" i="4445"/>
  <c r="P5" i="4445"/>
  <c r="Q5" i="4445"/>
  <c r="P4" i="4445"/>
  <c r="J40" i="4444"/>
  <c r="G40" i="4444"/>
  <c r="D40" i="4444"/>
  <c r="J38" i="4444"/>
  <c r="G38" i="4444"/>
  <c r="D38" i="4444"/>
  <c r="H34" i="4444"/>
  <c r="E34" i="4444"/>
  <c r="B34" i="4444"/>
  <c r="J33" i="4444"/>
  <c r="G33" i="4444"/>
  <c r="D33" i="4444"/>
  <c r="J32" i="4444"/>
  <c r="G32" i="4444"/>
  <c r="D32" i="4444"/>
  <c r="J31" i="4444"/>
  <c r="G31" i="4444"/>
  <c r="D31" i="4444"/>
  <c r="J30" i="4444"/>
  <c r="G30" i="4444"/>
  <c r="D30" i="4444"/>
  <c r="G29" i="4444"/>
  <c r="J29" i="4444"/>
  <c r="D29" i="4444"/>
  <c r="J28" i="4444"/>
  <c r="G28" i="4444"/>
  <c r="D28" i="4444"/>
  <c r="J27" i="4444"/>
  <c r="G27" i="4444"/>
  <c r="D27" i="4444"/>
  <c r="J26" i="4444"/>
  <c r="G26" i="4444"/>
  <c r="D26" i="4444"/>
  <c r="J25" i="4444"/>
  <c r="G25" i="4444"/>
  <c r="D25" i="4444"/>
  <c r="H22" i="4444"/>
  <c r="H36" i="4444" s="1"/>
  <c r="E22" i="4444"/>
  <c r="E36" i="4444" s="1"/>
  <c r="B36" i="4444"/>
  <c r="J21" i="4444"/>
  <c r="G21" i="4444"/>
  <c r="D21" i="4444"/>
  <c r="J20" i="4444"/>
  <c r="G20" i="4444"/>
  <c r="D20" i="4444"/>
  <c r="J19" i="4444"/>
  <c r="G19" i="4444"/>
  <c r="D19" i="4444"/>
  <c r="J18" i="4444"/>
  <c r="G18" i="4444"/>
  <c r="D18" i="4444"/>
  <c r="J17" i="4444"/>
  <c r="G17" i="4444"/>
  <c r="D17" i="4444"/>
  <c r="J16" i="4444"/>
  <c r="G16" i="4444"/>
  <c r="D16" i="4444"/>
  <c r="J15" i="4444"/>
  <c r="G15" i="4444"/>
  <c r="D15" i="4444"/>
  <c r="J14" i="4444"/>
  <c r="G14" i="4444"/>
  <c r="D14" i="4444"/>
  <c r="J13" i="4444"/>
  <c r="G13" i="4444"/>
  <c r="D13" i="4444"/>
  <c r="J12" i="4444"/>
  <c r="G12" i="4444"/>
  <c r="D12" i="4444"/>
  <c r="J11" i="4444"/>
  <c r="G11" i="4444"/>
  <c r="D11" i="4444"/>
  <c r="J10" i="4444"/>
  <c r="G10" i="4444"/>
  <c r="D10" i="4444"/>
  <c r="J9" i="4444"/>
  <c r="G9" i="4444"/>
  <c r="D9" i="4444"/>
  <c r="J8" i="4444"/>
  <c r="G8" i="4444"/>
  <c r="D8" i="4444"/>
  <c r="J7" i="4444"/>
  <c r="G7" i="4444"/>
  <c r="D7" i="4444"/>
  <c r="J6" i="4444"/>
  <c r="G6" i="4444"/>
  <c r="D6" i="4444"/>
  <c r="J5" i="4444"/>
  <c r="G5" i="4444"/>
  <c r="D5" i="4444"/>
  <c r="J4" i="4444"/>
  <c r="G4" i="4444"/>
  <c r="D4" i="4444"/>
  <c r="G3" i="4444"/>
  <c r="K33" i="4443"/>
  <c r="J33" i="4443"/>
  <c r="H33" i="4443"/>
  <c r="G33" i="4443"/>
  <c r="E33" i="4443"/>
  <c r="D33" i="4443"/>
  <c r="K30" i="4443"/>
  <c r="J30" i="4443"/>
  <c r="J35" i="4443" s="1"/>
  <c r="H30" i="4443"/>
  <c r="H35" i="4443" s="1"/>
  <c r="G30" i="4443"/>
  <c r="E30" i="4443"/>
  <c r="D30" i="4443"/>
  <c r="D35" i="4443" s="1"/>
  <c r="L28" i="4443"/>
  <c r="I28" i="4443"/>
  <c r="F28" i="4443"/>
  <c r="L27" i="4443"/>
  <c r="I27" i="4443"/>
  <c r="F27" i="4443"/>
  <c r="L26" i="4443"/>
  <c r="I26" i="4443"/>
  <c r="F26" i="4443"/>
  <c r="L25" i="4443"/>
  <c r="I25" i="4443"/>
  <c r="F25" i="4443"/>
  <c r="L23" i="4443"/>
  <c r="I23" i="4443"/>
  <c r="F23" i="4443"/>
  <c r="L21" i="4443"/>
  <c r="I21" i="4443"/>
  <c r="F21" i="4443"/>
  <c r="L19" i="4443"/>
  <c r="I19" i="4443"/>
  <c r="F19" i="4443"/>
  <c r="L18" i="4443"/>
  <c r="I18" i="4443"/>
  <c r="F18" i="4443"/>
  <c r="L17" i="4443"/>
  <c r="I17" i="4443"/>
  <c r="F17" i="4443"/>
  <c r="L16" i="4443"/>
  <c r="I16" i="4443"/>
  <c r="F16" i="4443"/>
  <c r="L15" i="4443"/>
  <c r="I15" i="4443"/>
  <c r="F15" i="4443"/>
  <c r="L13" i="4443"/>
  <c r="I13" i="4443"/>
  <c r="F13" i="4443"/>
  <c r="L12" i="4443"/>
  <c r="I12" i="4443"/>
  <c r="F12" i="4443"/>
  <c r="K33" i="4442"/>
  <c r="J33" i="4442"/>
  <c r="H33" i="4442"/>
  <c r="G33" i="4442"/>
  <c r="E33" i="4442"/>
  <c r="D33" i="4442"/>
  <c r="L32" i="4442"/>
  <c r="I32" i="4442"/>
  <c r="F32" i="4442"/>
  <c r="K30" i="4442"/>
  <c r="H30" i="4442"/>
  <c r="H35" i="4442" s="1"/>
  <c r="E30" i="4442"/>
  <c r="L26" i="4442"/>
  <c r="I26" i="4442"/>
  <c r="F26" i="4442"/>
  <c r="L25" i="4442"/>
  <c r="I25" i="4442"/>
  <c r="F25" i="4442"/>
  <c r="L24" i="4442"/>
  <c r="I24" i="4442"/>
  <c r="F24" i="4442"/>
  <c r="L23" i="4442"/>
  <c r="I23" i="4442"/>
  <c r="F23" i="4442"/>
  <c r="L22" i="4442"/>
  <c r="I22" i="4442"/>
  <c r="F22" i="4442"/>
  <c r="L21" i="4442"/>
  <c r="I21" i="4442"/>
  <c r="F21" i="4442"/>
  <c r="L20" i="4442"/>
  <c r="I20" i="4442"/>
  <c r="F20" i="4442"/>
  <c r="L19" i="4442"/>
  <c r="I19" i="4442"/>
  <c r="F19" i="4442"/>
  <c r="L18" i="4442"/>
  <c r="I18" i="4442"/>
  <c r="F18" i="4442"/>
  <c r="L15" i="4442"/>
  <c r="I15" i="4442"/>
  <c r="F15" i="4442"/>
  <c r="L14" i="4442"/>
  <c r="I14" i="4442"/>
  <c r="F14" i="4442"/>
  <c r="L13" i="4442"/>
  <c r="I13" i="4442"/>
  <c r="F13" i="4442"/>
  <c r="L12" i="4442"/>
  <c r="I12" i="4442"/>
  <c r="F12" i="4442"/>
  <c r="L11" i="4442"/>
  <c r="I11" i="4442"/>
  <c r="F11" i="4442"/>
  <c r="L10" i="4442"/>
  <c r="I10" i="4442"/>
  <c r="F10" i="4442"/>
  <c r="L9" i="4442"/>
  <c r="I9" i="4442"/>
  <c r="F9" i="4442"/>
  <c r="L8" i="4442"/>
  <c r="I8" i="4442"/>
  <c r="F8" i="4442"/>
  <c r="J30" i="4442"/>
  <c r="J35" i="4442" s="1"/>
  <c r="G30" i="4442"/>
  <c r="G35" i="4442" s="1"/>
  <c r="D30" i="4442"/>
  <c r="D35" i="4442" s="1"/>
  <c r="L6" i="4442"/>
  <c r="I6" i="4442"/>
  <c r="F6" i="4442"/>
  <c r="L5" i="4442"/>
  <c r="I5" i="4442"/>
  <c r="F5" i="4442"/>
  <c r="L4" i="4442"/>
  <c r="I4" i="4442"/>
  <c r="F4" i="4442"/>
  <c r="K32" i="4441"/>
  <c r="J32" i="4441"/>
  <c r="H32" i="4441"/>
  <c r="G32" i="4441"/>
  <c r="E32" i="4441"/>
  <c r="D32" i="4441"/>
  <c r="K28" i="4441"/>
  <c r="J28" i="4441"/>
  <c r="H28" i="4441"/>
  <c r="G28" i="4441"/>
  <c r="E28" i="4441"/>
  <c r="D28" i="4441"/>
  <c r="K27" i="4441"/>
  <c r="J27" i="4441"/>
  <c r="J33" i="4441" s="1"/>
  <c r="H27" i="4441"/>
  <c r="G27" i="4441"/>
  <c r="E27" i="4441"/>
  <c r="E33" i="4441" s="1"/>
  <c r="D27" i="4441"/>
  <c r="D33" i="4441" s="1"/>
  <c r="K26" i="4441"/>
  <c r="J26" i="4441"/>
  <c r="H26" i="4441"/>
  <c r="G26" i="4441"/>
  <c r="E26" i="4441"/>
  <c r="D26" i="4441"/>
  <c r="K25" i="4441"/>
  <c r="J25" i="4441"/>
  <c r="H25" i="4441"/>
  <c r="G25" i="4441"/>
  <c r="E25" i="4441"/>
  <c r="D25" i="4441"/>
  <c r="K24" i="4441"/>
  <c r="J24" i="4441"/>
  <c r="H24" i="4441"/>
  <c r="G24" i="4441"/>
  <c r="E24" i="4441"/>
  <c r="D24" i="4441"/>
  <c r="K23" i="4441"/>
  <c r="J23" i="4441"/>
  <c r="H23" i="4441"/>
  <c r="G23" i="4441"/>
  <c r="E23" i="4441"/>
  <c r="D23" i="4441"/>
  <c r="K22" i="4441"/>
  <c r="J22" i="4441"/>
  <c r="H22" i="4441"/>
  <c r="G22" i="4441"/>
  <c r="E22" i="4441"/>
  <c r="D22" i="4441"/>
  <c r="K21" i="4441"/>
  <c r="J21" i="4441"/>
  <c r="H21" i="4441"/>
  <c r="G21" i="4441"/>
  <c r="E21" i="4441"/>
  <c r="D21" i="4441"/>
  <c r="K20" i="4441"/>
  <c r="J20" i="4441"/>
  <c r="H20" i="4441"/>
  <c r="G20" i="4441"/>
  <c r="E20" i="4441"/>
  <c r="D20" i="4441"/>
  <c r="K19" i="4441"/>
  <c r="J19" i="4441"/>
  <c r="H19" i="4441"/>
  <c r="G19" i="4441"/>
  <c r="E19" i="4441"/>
  <c r="D19" i="4441"/>
  <c r="K18" i="4441"/>
  <c r="J18" i="4441"/>
  <c r="H18" i="4441"/>
  <c r="G18" i="4441"/>
  <c r="E18" i="4441"/>
  <c r="D18" i="4441"/>
  <c r="K17" i="4441"/>
  <c r="J17" i="4441"/>
  <c r="H17" i="4441"/>
  <c r="G17" i="4441"/>
  <c r="E17" i="4441"/>
  <c r="D17" i="4441"/>
  <c r="K16" i="4441"/>
  <c r="J16" i="4441"/>
  <c r="H16" i="4441"/>
  <c r="G16" i="4441"/>
  <c r="E16" i="4441"/>
  <c r="D16" i="4441"/>
  <c r="K15" i="4441"/>
  <c r="J15" i="4441"/>
  <c r="H15" i="4441"/>
  <c r="G15" i="4441"/>
  <c r="E15" i="4441"/>
  <c r="D15" i="4441"/>
  <c r="K14" i="4441"/>
  <c r="J14" i="4441"/>
  <c r="H14" i="4441"/>
  <c r="G14" i="4441"/>
  <c r="E14" i="4441"/>
  <c r="D14" i="4441"/>
  <c r="K13" i="4441"/>
  <c r="J13" i="4441"/>
  <c r="H13" i="4441"/>
  <c r="G13" i="4441"/>
  <c r="E13" i="4441"/>
  <c r="D13" i="4441"/>
  <c r="K12" i="4441"/>
  <c r="J12" i="4441"/>
  <c r="H12" i="4441"/>
  <c r="G12" i="4441"/>
  <c r="E12" i="4441"/>
  <c r="D12" i="4441"/>
  <c r="K11" i="4441"/>
  <c r="J11" i="4441"/>
  <c r="H11" i="4441"/>
  <c r="G11" i="4441"/>
  <c r="E11" i="4441"/>
  <c r="D11" i="4441"/>
  <c r="K10" i="4441"/>
  <c r="J10" i="4441"/>
  <c r="H10" i="4441"/>
  <c r="G10" i="4441"/>
  <c r="E10" i="4441"/>
  <c r="D10" i="4441"/>
  <c r="K9" i="4441"/>
  <c r="J9" i="4441"/>
  <c r="H9" i="4441"/>
  <c r="G9" i="4441"/>
  <c r="E9" i="4441"/>
  <c r="D9" i="4441"/>
  <c r="K8" i="4441"/>
  <c r="J8" i="4441"/>
  <c r="H8" i="4441"/>
  <c r="G8" i="4441"/>
  <c r="E8" i="4441"/>
  <c r="D8" i="4441"/>
  <c r="K7" i="4441"/>
  <c r="J7" i="4441"/>
  <c r="H7" i="4441"/>
  <c r="G7" i="4441"/>
  <c r="E7" i="4441"/>
  <c r="D7" i="4441"/>
  <c r="K6" i="4441"/>
  <c r="J6" i="4441"/>
  <c r="H6" i="4441"/>
  <c r="G6" i="4441"/>
  <c r="E6" i="4441"/>
  <c r="D6" i="4441"/>
  <c r="K5" i="4441"/>
  <c r="J5" i="4441"/>
  <c r="H5" i="4441"/>
  <c r="G5" i="4441"/>
  <c r="E5" i="4441"/>
  <c r="D5" i="4441"/>
  <c r="K4" i="4441"/>
  <c r="J4" i="4441"/>
  <c r="H4" i="4441"/>
  <c r="G4" i="4441"/>
  <c r="E4" i="4441"/>
  <c r="D4" i="4441"/>
  <c r="S18" i="4447" l="1"/>
  <c r="P23" i="4447"/>
  <c r="M23" i="4448"/>
  <c r="G33" i="4441"/>
  <c r="G35" i="4443"/>
  <c r="G11" i="4446"/>
  <c r="E17" i="4446"/>
  <c r="N23" i="4447"/>
  <c r="R18" i="4447"/>
  <c r="H16" i="4445"/>
  <c r="Q23" i="4447"/>
  <c r="F32" i="4441"/>
  <c r="L8" i="4441"/>
  <c r="F6" i="4441"/>
  <c r="F10" i="4441"/>
  <c r="O23" i="4448"/>
  <c r="S20" i="4448"/>
  <c r="S21" i="4448"/>
  <c r="S22" i="4448"/>
  <c r="S19" i="4448"/>
  <c r="S17" i="4448"/>
  <c r="Q23" i="4448"/>
  <c r="O23" i="4447"/>
  <c r="S18" i="4448"/>
  <c r="M23" i="4447"/>
  <c r="F8" i="4441"/>
  <c r="L10" i="4441"/>
  <c r="K33" i="4441"/>
  <c r="L33" i="4441" s="1"/>
  <c r="I22" i="4444"/>
  <c r="J22" i="4444" s="1"/>
  <c r="C22" i="4444"/>
  <c r="D22" i="4444" s="1"/>
  <c r="C34" i="4444"/>
  <c r="I34" i="4444"/>
  <c r="J34" i="4444" s="1"/>
  <c r="F34" i="4444"/>
  <c r="G34" i="4444" s="1"/>
  <c r="J24" i="4444"/>
  <c r="R22" i="4448"/>
  <c r="L23" i="4447"/>
  <c r="R21" i="4447"/>
  <c r="L23" i="4448"/>
  <c r="P23" i="4448"/>
  <c r="N23" i="4448"/>
  <c r="D24" i="4444"/>
  <c r="G24" i="4444"/>
  <c r="L12" i="4441"/>
  <c r="L14" i="4441"/>
  <c r="L16" i="4441"/>
  <c r="L17" i="4441"/>
  <c r="L18" i="4441"/>
  <c r="L19" i="4441"/>
  <c r="L20" i="4441"/>
  <c r="L22" i="4441"/>
  <c r="L24" i="4441"/>
  <c r="L25" i="4441"/>
  <c r="L26" i="4441"/>
  <c r="L28" i="4441"/>
  <c r="L30" i="4443"/>
  <c r="L33" i="4443"/>
  <c r="I27" i="4441"/>
  <c r="I28" i="4441"/>
  <c r="I33" i="4443"/>
  <c r="F12" i="4441"/>
  <c r="F14" i="4441"/>
  <c r="F16" i="4441"/>
  <c r="F17" i="4441"/>
  <c r="F18" i="4441"/>
  <c r="F19" i="4441"/>
  <c r="F20" i="4441"/>
  <c r="F21" i="4441"/>
  <c r="F22" i="4441"/>
  <c r="F24" i="4441"/>
  <c r="F33" i="4441"/>
  <c r="F28" i="4441"/>
  <c r="F33" i="4443"/>
  <c r="F30" i="4443"/>
  <c r="L32" i="4441"/>
  <c r="L6" i="4441"/>
  <c r="I32" i="4441"/>
  <c r="I4" i="4441"/>
  <c r="I5" i="4441"/>
  <c r="I7" i="4441"/>
  <c r="I9" i="4441"/>
  <c r="I11" i="4441"/>
  <c r="I13" i="4441"/>
  <c r="I15" i="4441"/>
  <c r="I17" i="4441"/>
  <c r="I18" i="4441"/>
  <c r="I19" i="4441"/>
  <c r="I21" i="4441"/>
  <c r="I23" i="4441"/>
  <c r="I25" i="4441"/>
  <c r="I26" i="4441"/>
  <c r="F5" i="4441"/>
  <c r="F4" i="4441"/>
  <c r="F26" i="4441"/>
  <c r="L4" i="4441"/>
  <c r="L5" i="4441"/>
  <c r="I6" i="4441"/>
  <c r="F7" i="4441"/>
  <c r="L7" i="4441"/>
  <c r="I8" i="4441"/>
  <c r="F9" i="4441"/>
  <c r="L9" i="4441"/>
  <c r="I10" i="4441"/>
  <c r="F11" i="4441"/>
  <c r="L11" i="4441"/>
  <c r="I12" i="4441"/>
  <c r="F13" i="4441"/>
  <c r="L13" i="4441"/>
  <c r="I14" i="4441"/>
  <c r="F15" i="4441"/>
  <c r="L15" i="4441"/>
  <c r="I16" i="4441"/>
  <c r="I20" i="4441"/>
  <c r="L21" i="4441"/>
  <c r="I22" i="4441"/>
  <c r="F23" i="4441"/>
  <c r="L23" i="4441"/>
  <c r="I24" i="4441"/>
  <c r="F25" i="4441"/>
  <c r="F7" i="4442"/>
  <c r="F30" i="4442"/>
  <c r="L30" i="4442"/>
  <c r="I35" i="4443"/>
  <c r="D34" i="4444"/>
  <c r="H3" i="4446"/>
  <c r="H4" i="4446" s="1"/>
  <c r="H5" i="4446" s="1"/>
  <c r="H6" i="4446" s="1"/>
  <c r="H7" i="4446" s="1"/>
  <c r="H8" i="4446" s="1"/>
  <c r="H9" i="4446" s="1"/>
  <c r="H10" i="4446" s="1"/>
  <c r="I35" i="4442"/>
  <c r="F27" i="4441"/>
  <c r="L27" i="4441"/>
  <c r="D30" i="4441"/>
  <c r="D35" i="4441" s="1"/>
  <c r="H30" i="4441"/>
  <c r="J30" i="4441"/>
  <c r="J35" i="4441" s="1"/>
  <c r="H33" i="4441"/>
  <c r="I33" i="4441" s="1"/>
  <c r="I7" i="4442"/>
  <c r="L7" i="4442"/>
  <c r="I30" i="4442"/>
  <c r="E35" i="4442"/>
  <c r="F35" i="4442" s="1"/>
  <c r="K35" i="4442"/>
  <c r="L35" i="4442" s="1"/>
  <c r="I30" i="4443"/>
  <c r="E35" i="4443"/>
  <c r="F35" i="4443" s="1"/>
  <c r="K35" i="4443"/>
  <c r="L35" i="4443" s="1"/>
  <c r="F22" i="4444"/>
  <c r="G22" i="4444" s="1"/>
  <c r="Q4" i="4445"/>
  <c r="Q16" i="4445" s="1"/>
  <c r="P9" i="4445"/>
  <c r="P16" i="4445" s="1"/>
  <c r="G3" i="4447"/>
  <c r="S16" i="4447"/>
  <c r="G3" i="4448"/>
  <c r="S16" i="4448"/>
  <c r="E30" i="4441"/>
  <c r="G30" i="4441"/>
  <c r="G35" i="4441" s="1"/>
  <c r="K30" i="4441"/>
  <c r="D3" i="4444"/>
  <c r="J3" i="4444"/>
  <c r="F3" i="4447"/>
  <c r="R16" i="4447"/>
  <c r="R23" i="4447" s="1"/>
  <c r="F3" i="4448"/>
  <c r="R16" i="4448"/>
  <c r="R23" i="4448" s="1"/>
  <c r="S23" i="4447" l="1"/>
  <c r="H11" i="4446"/>
  <c r="H12" i="4446" s="1"/>
  <c r="H13" i="4446" s="1"/>
  <c r="H14" i="4446" s="1"/>
  <c r="H15" i="4446" s="1"/>
  <c r="H16" i="4446" s="1"/>
  <c r="G17" i="4446"/>
  <c r="I36" i="4444"/>
  <c r="J36" i="4444" s="1"/>
  <c r="S23" i="4448"/>
  <c r="C36" i="4444"/>
  <c r="D36" i="4444" s="1"/>
  <c r="F15" i="4448"/>
  <c r="H15" i="4448" s="1"/>
  <c r="H3" i="4448"/>
  <c r="J3" i="4448" s="1"/>
  <c r="L3" i="4448" s="1"/>
  <c r="F15" i="4447"/>
  <c r="H15" i="4447" s="1"/>
  <c r="H3" i="4447"/>
  <c r="J3" i="4447" s="1"/>
  <c r="L3" i="4447" s="1"/>
  <c r="K35" i="4441"/>
  <c r="L35" i="4441" s="1"/>
  <c r="L30" i="4441"/>
  <c r="E35" i="4441"/>
  <c r="F35" i="4441" s="1"/>
  <c r="F30" i="4441"/>
  <c r="G15" i="4448"/>
  <c r="I15" i="4448" s="1"/>
  <c r="I3" i="4448"/>
  <c r="K3" i="4448" s="1"/>
  <c r="M3" i="4448" s="1"/>
  <c r="G15" i="4447"/>
  <c r="I15" i="4447" s="1"/>
  <c r="I3" i="4447"/>
  <c r="K3" i="4447" s="1"/>
  <c r="M3" i="4447" s="1"/>
  <c r="H35" i="4441"/>
  <c r="I35" i="4441" s="1"/>
  <c r="I30" i="4441"/>
  <c r="F36" i="4444"/>
  <c r="G36" i="4444" s="1"/>
  <c r="K15" i="4447" l="1"/>
  <c r="O3" i="4447"/>
  <c r="K15" i="4448"/>
  <c r="O3" i="4448"/>
  <c r="J15" i="4447"/>
  <c r="N3" i="4447"/>
  <c r="J15" i="4448"/>
  <c r="N3" i="4448"/>
  <c r="L15" i="4448" l="1"/>
  <c r="P3" i="4448"/>
  <c r="N15" i="4448" s="1"/>
  <c r="P15" i="4448" s="1"/>
  <c r="R15" i="4448" s="1"/>
  <c r="T15" i="4448" s="1"/>
  <c r="L15" i="4447"/>
  <c r="P3" i="4447"/>
  <c r="N15" i="4447" s="1"/>
  <c r="P15" i="4447" s="1"/>
  <c r="R15" i="4447" s="1"/>
  <c r="T15" i="4447" s="1"/>
  <c r="M15" i="4448"/>
  <c r="Q3" i="4448"/>
  <c r="O15" i="4448" s="1"/>
  <c r="Q15" i="4448" s="1"/>
  <c r="S15" i="4448" s="1"/>
  <c r="U15" i="4448" s="1"/>
  <c r="M15" i="4447"/>
  <c r="Q3" i="4447"/>
  <c r="O15" i="4447" s="1"/>
  <c r="Q15" i="4447" s="1"/>
  <c r="S15" i="4447" s="1"/>
  <c r="U15" i="4447" s="1"/>
  <c r="D19" i="124" l="1"/>
  <c r="K11" i="1"/>
  <c r="D28" i="124" l="1"/>
  <c r="F19" i="200"/>
  <c r="K34" i="2" l="1"/>
  <c r="K8" i="2"/>
  <c r="H38" i="2"/>
  <c r="H39" i="2"/>
  <c r="L39" i="2"/>
  <c r="H33" i="2"/>
  <c r="L33" i="2"/>
  <c r="L35" i="2"/>
  <c r="L36" i="2"/>
  <c r="L37" i="2"/>
  <c r="K33" i="2" l="1"/>
  <c r="N33" i="2" s="1"/>
  <c r="F10" i="200" l="1"/>
  <c r="E21" i="200"/>
  <c r="D21" i="200"/>
  <c r="H7" i="2" l="1"/>
  <c r="H9" i="2"/>
  <c r="H10" i="2"/>
  <c r="H12" i="2"/>
  <c r="H13" i="2"/>
  <c r="H14" i="2"/>
  <c r="H15" i="2"/>
  <c r="H16" i="2"/>
  <c r="H17" i="2"/>
  <c r="H18" i="2"/>
  <c r="H6" i="2"/>
  <c r="L6" i="2"/>
  <c r="H4" i="2"/>
  <c r="K4" i="2"/>
  <c r="K6" i="2" l="1"/>
  <c r="N6" i="2" s="1"/>
  <c r="K18" i="2" l="1"/>
  <c r="J19" i="2"/>
  <c r="I19" i="2"/>
  <c r="G19" i="2"/>
  <c r="F19" i="2"/>
  <c r="N18" i="2"/>
  <c r="H10" i="1" l="1"/>
  <c r="L10" i="1"/>
  <c r="K21" i="2"/>
  <c r="E6" i="4440" l="1"/>
  <c r="E8" i="3"/>
  <c r="D24" i="124"/>
  <c r="K20" i="2"/>
  <c r="K13" i="2"/>
  <c r="F7" i="3"/>
  <c r="D12" i="124"/>
  <c r="D6" i="124"/>
  <c r="C33" i="124"/>
  <c r="L9" i="2"/>
  <c r="L5" i="2"/>
  <c r="H5" i="2"/>
  <c r="F23" i="1"/>
  <c r="H18" i="1"/>
  <c r="D33" i="124"/>
  <c r="E33" i="124" s="1"/>
  <c r="K18" i="1"/>
  <c r="K5" i="2"/>
  <c r="L32" i="2"/>
  <c r="H32" i="2"/>
  <c r="J40" i="2"/>
  <c r="I40" i="2"/>
  <c r="G40" i="2"/>
  <c r="F40" i="2"/>
  <c r="K39" i="2"/>
  <c r="N39" i="2" s="1"/>
  <c r="C18" i="124"/>
  <c r="D18" i="124"/>
  <c r="K10" i="1"/>
  <c r="N10" i="1" s="1"/>
  <c r="L9" i="1"/>
  <c r="H9" i="1"/>
  <c r="K9" i="1"/>
  <c r="F4" i="4440"/>
  <c r="K38" i="2"/>
  <c r="D23" i="124"/>
  <c r="K22" i="1"/>
  <c r="K32" i="2"/>
  <c r="N32" i="2" s="1"/>
  <c r="F3" i="4440"/>
  <c r="C26" i="124"/>
  <c r="K27" i="2"/>
  <c r="K25" i="2"/>
  <c r="D37" i="124"/>
  <c r="L28" i="2"/>
  <c r="K36" i="2"/>
  <c r="K37" i="2"/>
  <c r="D23" i="200"/>
  <c r="H35" i="2"/>
  <c r="H36" i="2"/>
  <c r="H40" i="2" s="1"/>
  <c r="C4" i="124" s="1"/>
  <c r="H37" i="2"/>
  <c r="K26" i="2"/>
  <c r="N26" i="2" s="1"/>
  <c r="H26" i="2"/>
  <c r="M26" i="2"/>
  <c r="L23" i="2"/>
  <c r="K23" i="2"/>
  <c r="H23" i="2"/>
  <c r="D6" i="4440"/>
  <c r="C8" i="124" s="1"/>
  <c r="F2" i="4440"/>
  <c r="D32" i="124"/>
  <c r="H17" i="1"/>
  <c r="C32" i="124" s="1"/>
  <c r="D35" i="124"/>
  <c r="D38" i="124"/>
  <c r="D39" i="124"/>
  <c r="C23" i="124"/>
  <c r="C12" i="124"/>
  <c r="H20" i="1"/>
  <c r="C35" i="124" s="1"/>
  <c r="H21" i="1"/>
  <c r="C36" i="124" s="1"/>
  <c r="H22" i="1"/>
  <c r="C37" i="124" s="1"/>
  <c r="C38" i="124"/>
  <c r="C39" i="124"/>
  <c r="D26" i="124"/>
  <c r="C25" i="124"/>
  <c r="C14" i="124"/>
  <c r="D14" i="124"/>
  <c r="D30" i="124"/>
  <c r="D21" i="124"/>
  <c r="D22" i="124"/>
  <c r="C30" i="124"/>
  <c r="C29" i="124"/>
  <c r="C24" i="124"/>
  <c r="C27" i="124"/>
  <c r="C15" i="124"/>
  <c r="C16" i="124"/>
  <c r="C17" i="124"/>
  <c r="C20" i="124"/>
  <c r="C21" i="124"/>
  <c r="C22" i="124"/>
  <c r="C13" i="124"/>
  <c r="C7" i="124"/>
  <c r="E9" i="124"/>
  <c r="D16" i="124"/>
  <c r="E16" i="124" s="1"/>
  <c r="D17" i="124"/>
  <c r="D15" i="124"/>
  <c r="D20" i="124"/>
  <c r="D7" i="124"/>
  <c r="D25" i="124"/>
  <c r="H20" i="2"/>
  <c r="H30" i="2" s="1"/>
  <c r="C3" i="124" s="1"/>
  <c r="H22" i="2"/>
  <c r="H24" i="2"/>
  <c r="H25" i="2"/>
  <c r="H27" i="2"/>
  <c r="H28" i="2"/>
  <c r="H29" i="2"/>
  <c r="H3" i="2"/>
  <c r="D8" i="3"/>
  <c r="C5" i="124" s="1"/>
  <c r="C6" i="124"/>
  <c r="D36" i="124"/>
  <c r="K3" i="2"/>
  <c r="K7" i="2"/>
  <c r="K9" i="2"/>
  <c r="K10" i="2"/>
  <c r="N10" i="2" s="1"/>
  <c r="K12" i="2"/>
  <c r="K14" i="2"/>
  <c r="K15" i="2"/>
  <c r="K16" i="2"/>
  <c r="N16" i="2" s="1"/>
  <c r="K17" i="2"/>
  <c r="K22" i="2"/>
  <c r="K24" i="2"/>
  <c r="K28" i="2"/>
  <c r="K29" i="2"/>
  <c r="D29" i="124"/>
  <c r="E29" i="124" s="1"/>
  <c r="L17" i="1"/>
  <c r="F26" i="1"/>
  <c r="G23" i="1"/>
  <c r="G26" i="1" s="1"/>
  <c r="K17" i="1"/>
  <c r="N17" i="1" s="1"/>
  <c r="N25" i="1"/>
  <c r="K6" i="1"/>
  <c r="H6" i="1"/>
  <c r="H5" i="1"/>
  <c r="L5" i="1"/>
  <c r="M5" i="1"/>
  <c r="K5" i="1"/>
  <c r="M21" i="1"/>
  <c r="K21" i="1"/>
  <c r="M16" i="1"/>
  <c r="K16" i="1"/>
  <c r="H16" i="1"/>
  <c r="H7" i="1"/>
  <c r="M7" i="1"/>
  <c r="L7" i="1"/>
  <c r="H15" i="1"/>
  <c r="H14" i="1"/>
  <c r="H13" i="1"/>
  <c r="H12" i="1"/>
  <c r="H8" i="1"/>
  <c r="H4" i="1"/>
  <c r="H3" i="1"/>
  <c r="K8" i="1"/>
  <c r="K12" i="1"/>
  <c r="K13" i="1"/>
  <c r="K14" i="1"/>
  <c r="K15" i="1"/>
  <c r="K20" i="1"/>
  <c r="N20" i="1" s="1"/>
  <c r="N24" i="1"/>
  <c r="M15" i="1"/>
  <c r="M20" i="1"/>
  <c r="L8" i="1"/>
  <c r="L12" i="1"/>
  <c r="L13" i="1"/>
  <c r="L14" i="1"/>
  <c r="L10" i="2"/>
  <c r="J30" i="2"/>
  <c r="J31" i="2" s="1"/>
  <c r="G30" i="2"/>
  <c r="F30" i="2"/>
  <c r="F31" i="2" s="1"/>
  <c r="F41" i="2" s="1"/>
  <c r="L19" i="2"/>
  <c r="L7" i="2"/>
  <c r="L14" i="2"/>
  <c r="N14" i="2"/>
  <c r="L16" i="2"/>
  <c r="G31" i="2"/>
  <c r="G41" i="2" s="1"/>
  <c r="L22" i="2"/>
  <c r="L25" i="2"/>
  <c r="M3" i="2"/>
  <c r="L3" i="2"/>
  <c r="F4" i="3"/>
  <c r="F3" i="3"/>
  <c r="F5" i="3"/>
  <c r="F6" i="3"/>
  <c r="F18" i="200"/>
  <c r="F22" i="200"/>
  <c r="F3" i="200"/>
  <c r="F6" i="200"/>
  <c r="F7" i="200"/>
  <c r="F8" i="200"/>
  <c r="F9" i="200"/>
  <c r="F11" i="200"/>
  <c r="F13" i="200"/>
  <c r="F14" i="200"/>
  <c r="F15" i="200"/>
  <c r="F16" i="200"/>
  <c r="F20" i="200"/>
  <c r="F2" i="200"/>
  <c r="N28" i="2"/>
  <c r="N25" i="2"/>
  <c r="N8" i="1"/>
  <c r="F4" i="200"/>
  <c r="I30" i="2"/>
  <c r="K7" i="1"/>
  <c r="N7" i="1" s="1"/>
  <c r="D27" i="124"/>
  <c r="M22" i="1"/>
  <c r="K35" i="2"/>
  <c r="N35" i="2" s="1"/>
  <c r="M19" i="2"/>
  <c r="N23" i="2"/>
  <c r="L12" i="2"/>
  <c r="N12" i="2"/>
  <c r="N9" i="2"/>
  <c r="H23" i="1"/>
  <c r="H26" i="1" s="1"/>
  <c r="E17" i="124"/>
  <c r="F12" i="200"/>
  <c r="F5" i="200"/>
  <c r="L4" i="1"/>
  <c r="E7" i="124" l="1"/>
  <c r="N18" i="1"/>
  <c r="H19" i="2"/>
  <c r="N5" i="2"/>
  <c r="N15" i="1"/>
  <c r="N13" i="1"/>
  <c r="N21" i="1"/>
  <c r="N5" i="1"/>
  <c r="C31" i="124"/>
  <c r="N14" i="1"/>
  <c r="N12" i="1"/>
  <c r="E38" i="124"/>
  <c r="E21" i="124"/>
  <c r="E15" i="124"/>
  <c r="J41" i="2"/>
  <c r="M41" i="2" s="1"/>
  <c r="E27" i="124"/>
  <c r="E20" i="124"/>
  <c r="N37" i="2"/>
  <c r="N36" i="2"/>
  <c r="E18" i="124"/>
  <c r="N22" i="2"/>
  <c r="N9" i="1"/>
  <c r="C2" i="124"/>
  <c r="C10" i="124" s="1"/>
  <c r="N16" i="1"/>
  <c r="N22" i="1"/>
  <c r="E22" i="124"/>
  <c r="N3" i="2"/>
  <c r="K19" i="2"/>
  <c r="D2" i="124" s="1"/>
  <c r="H31" i="2"/>
  <c r="H41" i="2" s="1"/>
  <c r="N7" i="2"/>
  <c r="L40" i="2"/>
  <c r="E14" i="124"/>
  <c r="E23" i="124"/>
  <c r="I31" i="2"/>
  <c r="I41" i="2" s="1"/>
  <c r="L41" i="2" s="1"/>
  <c r="M31" i="2"/>
  <c r="E39" i="124"/>
  <c r="E32" i="124"/>
  <c r="C40" i="124"/>
  <c r="K40" i="2"/>
  <c r="D4" i="124" s="1"/>
  <c r="E4" i="124" s="1"/>
  <c r="L30" i="2"/>
  <c r="E23" i="200"/>
  <c r="F23" i="200" s="1"/>
  <c r="J23" i="1"/>
  <c r="J26" i="1" s="1"/>
  <c r="M26" i="1" s="1"/>
  <c r="E25" i="124"/>
  <c r="F5" i="4440"/>
  <c r="E35" i="124"/>
  <c r="E6" i="124"/>
  <c r="E36" i="124"/>
  <c r="E30" i="124"/>
  <c r="E24" i="124"/>
  <c r="E37" i="124"/>
  <c r="N20" i="2"/>
  <c r="K30" i="2"/>
  <c r="L20" i="2"/>
  <c r="F21" i="200"/>
  <c r="F6" i="4440"/>
  <c r="D8" i="124"/>
  <c r="E8" i="124" s="1"/>
  <c r="D5" i="124"/>
  <c r="E5" i="124" s="1"/>
  <c r="F8" i="3"/>
  <c r="F2" i="3"/>
  <c r="M4" i="1"/>
  <c r="M3" i="1"/>
  <c r="K4" i="1"/>
  <c r="N4" i="1" s="1"/>
  <c r="I23" i="1"/>
  <c r="K3" i="1"/>
  <c r="N3" i="1" s="1"/>
  <c r="E12" i="124"/>
  <c r="D31" i="124"/>
  <c r="D40" i="124" s="1"/>
  <c r="D13" i="124"/>
  <c r="E13" i="124" s="1"/>
  <c r="L3" i="1"/>
  <c r="K31" i="2" l="1"/>
  <c r="N31" i="2" s="1"/>
  <c r="E31" i="124"/>
  <c r="E2" i="124"/>
  <c r="L31" i="2"/>
  <c r="C42" i="124"/>
  <c r="N19" i="2"/>
  <c r="N40" i="2"/>
  <c r="M23" i="1"/>
  <c r="K23" i="1"/>
  <c r="K26" i="1" s="1"/>
  <c r="N26" i="1" s="1"/>
  <c r="N30" i="2"/>
  <c r="D3" i="124"/>
  <c r="E3" i="124" s="1"/>
  <c r="L23" i="1"/>
  <c r="I26" i="1"/>
  <c r="L26" i="1" s="1"/>
  <c r="K41" i="2" l="1"/>
  <c r="N41" i="2" s="1"/>
  <c r="D10" i="124"/>
  <c r="E10" i="124" s="1"/>
  <c r="N23" i="1"/>
  <c r="E40" i="124"/>
  <c r="D42" i="124" l="1"/>
</calcChain>
</file>

<file path=xl/sharedStrings.xml><?xml version="1.0" encoding="utf-8"?>
<sst xmlns="http://schemas.openxmlformats.org/spreadsheetml/2006/main" count="953" uniqueCount="601">
  <si>
    <t>Megnevezés</t>
  </si>
  <si>
    <t>OEP</t>
  </si>
  <si>
    <t>Saját</t>
  </si>
  <si>
    <t>Összesen</t>
  </si>
  <si>
    <t>Betegellátás bevételei összesen</t>
  </si>
  <si>
    <t>- Járóbetegellátás</t>
  </si>
  <si>
    <t>- Ügyeleti ellátás</t>
  </si>
  <si>
    <t>- Fogászat</t>
  </si>
  <si>
    <t>- Házi szakápolás</t>
  </si>
  <si>
    <t>- Védőnők</t>
  </si>
  <si>
    <t>- Iskola, ifjúsági egészségügy</t>
  </si>
  <si>
    <t>- Foglalkozás-egészségügy</t>
  </si>
  <si>
    <t>Bérleti díjak bevételei</t>
  </si>
  <si>
    <t>Továbbszámlázott szolgáltatások bevételei</t>
  </si>
  <si>
    <t>Egyéb bevételek (pl. pályázat, stb.)</t>
  </si>
  <si>
    <t>Saját bevételek összesen</t>
  </si>
  <si>
    <t>Önkormányzati támogatás</t>
  </si>
  <si>
    <t>Összes bevétel</t>
  </si>
  <si>
    <t>Teljes és Részmunkaidős</t>
  </si>
  <si>
    <t>További munkaviszony/ Megbízási szerződéses</t>
  </si>
  <si>
    <t>alapbér</t>
  </si>
  <si>
    <t>bérpótlékok</t>
  </si>
  <si>
    <t>keresetkiegészítés</t>
  </si>
  <si>
    <t>prémium keret</t>
  </si>
  <si>
    <t>jutalom</t>
  </si>
  <si>
    <t>jubileumi jutalom</t>
  </si>
  <si>
    <t>továbbképzési hozzájárulás</t>
  </si>
  <si>
    <t>betegszabadság</t>
  </si>
  <si>
    <t>ruházati költségtérítés</t>
  </si>
  <si>
    <t>közlekedési költségtérítés</t>
  </si>
  <si>
    <t>Személyi juttatások összesen</t>
  </si>
  <si>
    <t>Szakképzési hozzájárulás</t>
  </si>
  <si>
    <t>Rehabilitációs hozzájárulás</t>
  </si>
  <si>
    <t>Munkáltató által fizetett SZJA</t>
  </si>
  <si>
    <t>- takarítás</t>
  </si>
  <si>
    <t>- szemétszállítás</t>
  </si>
  <si>
    <t>Háziorvosi felnőtt és gyermekügyelet működtetése</t>
  </si>
  <si>
    <t>Közüzemi szolgáltatások igénybevétele (áram, gáz, távhő, víz-csatorna)</t>
  </si>
  <si>
    <t>Postai szolgáltatások</t>
  </si>
  <si>
    <t>Tanfolyamok, továbbképzések költségei</t>
  </si>
  <si>
    <t>Számlázott szellemi tevékenységek (ügyvéd, könyvvizsgáló, stb.)</t>
  </si>
  <si>
    <t>Rendezvények költségei</t>
  </si>
  <si>
    <t>- Labor</t>
  </si>
  <si>
    <t>- Egynapos sebészet</t>
  </si>
  <si>
    <t>végkielégítés, felmentési időre juttatás</t>
  </si>
  <si>
    <t>Közhasznú munkavállalók bérköltsége</t>
  </si>
  <si>
    <t>Személyi jellegű egyéb kifizetések</t>
  </si>
  <si>
    <t>Táppénz hozzájárulás</t>
  </si>
  <si>
    <t>Bérjárulékok összesen</t>
  </si>
  <si>
    <t>Személyi jellegű ráfordítás összesen</t>
  </si>
  <si>
    <t>Egészségügyi szakmai anyagok</t>
  </si>
  <si>
    <t>Gyógyszer felhasználás</t>
  </si>
  <si>
    <t>Irodaszer, nyomtatvány</t>
  </si>
  <si>
    <t>Műszaki anyagok felhasználása</t>
  </si>
  <si>
    <t>Munkaruha, védőruha</t>
  </si>
  <si>
    <t>Egyéb anyagköltség</t>
  </si>
  <si>
    <t>Igénybe veendő egészségügyi szolgáltatások</t>
  </si>
  <si>
    <t>Kommunikációs eszközök működtetése</t>
  </si>
  <si>
    <t>Műszaki, karbantartási, takarítási szolgáltatások</t>
  </si>
  <si>
    <t>Szakkönyv, folyóirat előfizetés</t>
  </si>
  <si>
    <t>Igénybe vett szolgáltatások értéke</t>
  </si>
  <si>
    <t>Eladott (közvetített) szolgáltatások értéke</t>
  </si>
  <si>
    <t>költségek (ráfordítások) ellentételezése (hgy)</t>
  </si>
  <si>
    <t>egyéb ki nem emelt ráfordítások</t>
  </si>
  <si>
    <t>Költségvetéssel elszámolt adók illetékek</t>
  </si>
  <si>
    <t>Bérköltség</t>
  </si>
  <si>
    <t>Személyi jellegű egyéb kifizetés</t>
  </si>
  <si>
    <t>Bérjárulék</t>
  </si>
  <si>
    <t>Anyagköltség</t>
  </si>
  <si>
    <t>Igénybe vett szolgáltatás</t>
  </si>
  <si>
    <t>Eladott (közvetített) szolgáltatás</t>
  </si>
  <si>
    <t>Egyéb ráfordítás</t>
  </si>
  <si>
    <t>Értékcsökkenés</t>
  </si>
  <si>
    <t>Összes kiadás</t>
  </si>
  <si>
    <t>OEP bevétel</t>
  </si>
  <si>
    <t>járóbeteg</t>
  </si>
  <si>
    <t>labor</t>
  </si>
  <si>
    <t>ügyelet</t>
  </si>
  <si>
    <t>fogászat</t>
  </si>
  <si>
    <t>házi szakápolás</t>
  </si>
  <si>
    <t>védőnő</t>
  </si>
  <si>
    <t>iskola, ifjúsági egészségügy</t>
  </si>
  <si>
    <t>Saját betegellátási bevétel</t>
  </si>
  <si>
    <t>foglalkozás-egészségügyi bevétel</t>
  </si>
  <si>
    <t>Betegellátás bevétel</t>
  </si>
  <si>
    <t>Bérleti díj bevétel</t>
  </si>
  <si>
    <t>Továbbszámlázott bevétel</t>
  </si>
  <si>
    <t>Egyéb nem eü bevétel</t>
  </si>
  <si>
    <t>Egyenleg</t>
  </si>
  <si>
    <t>- Menedzser szűrés (szűrővizsgálat)</t>
  </si>
  <si>
    <t>menedzserszűrés (szűrővizsgálat)</t>
  </si>
  <si>
    <t>reprezentáció, egyéb személyi jellegű kifizetés</t>
  </si>
  <si>
    <t>Egyéb igénybevett szakmai szolgáltatás (pályázat, tender, hirdetés)</t>
  </si>
  <si>
    <t>Egyéb szolgáltatások költségei (gépjármű műszaki, banki ktg, hatósági díj, vagyon és orvos felelőségbiztosítás)</t>
  </si>
  <si>
    <t>egynapos sebészet</t>
  </si>
  <si>
    <t>túlóra, helyettesítési, készenléti, ügyeleti díj</t>
  </si>
  <si>
    <t>Egynapos sebészeti jutalék</t>
  </si>
  <si>
    <t>- Sportorvos</t>
  </si>
  <si>
    <t>sportorvos</t>
  </si>
  <si>
    <t>Jogviszony ellenőrzés</t>
  </si>
  <si>
    <t>Rendkívüli bevétel</t>
  </si>
  <si>
    <t>Szociális jellegű juttatások</t>
  </si>
  <si>
    <t>választott tisztségviselők díja (FB, ügyvezető ig.)</t>
  </si>
  <si>
    <t>Tárgyi eszköz értékesítés nettó kivezetés</t>
  </si>
  <si>
    <t>Bérbeadás SZJA</t>
  </si>
  <si>
    <t>Össz.</t>
  </si>
  <si>
    <t>-Fogászat (privatizált)</t>
  </si>
  <si>
    <t>fogászat (privatizált)</t>
  </si>
  <si>
    <t>cafetéria</t>
  </si>
  <si>
    <t>Reprezentáció</t>
  </si>
  <si>
    <t>Szociális hozzájárulási adó (Nyugdíjbiztosítási járulék)</t>
  </si>
  <si>
    <t>OEP bértámogatás</t>
  </si>
  <si>
    <t>- bérleti díj</t>
  </si>
  <si>
    <t>Informatikai szolgáltatások, rendszerkövetés, bérszámfejtés</t>
  </si>
  <si>
    <t>bérkompenzáció közhasznú munkavállalóknak</t>
  </si>
  <si>
    <t>OEP eseti keresetkiegésztés</t>
  </si>
  <si>
    <t>Védőnői bérlet</t>
  </si>
  <si>
    <t>kultúra utalvány</t>
  </si>
  <si>
    <t>munkaviszony megszűnése miatti bér</t>
  </si>
  <si>
    <t>ebből - veszélyes hulladék kezelése</t>
  </si>
  <si>
    <t>Szegedi út, Visegrádi u. Társasház közös költsége</t>
  </si>
  <si>
    <t>Egészségügyi hozzájárulás</t>
  </si>
  <si>
    <t>2015 évi terv                                           (adatok e Ft-ban)</t>
  </si>
  <si>
    <t>2015 évi terv</t>
  </si>
  <si>
    <t>Területi pótlék (védőnő)</t>
  </si>
  <si>
    <t>Egyszerűsített foglalkoztatásból eredő közteher</t>
  </si>
  <si>
    <t>- Házi gyermekorvos</t>
  </si>
  <si>
    <t>házi gyermekorvos</t>
  </si>
  <si>
    <t>Munkahely</t>
  </si>
  <si>
    <t>Jelentett esetszám</t>
  </si>
  <si>
    <t>Jelentett beavatkozásszám</t>
  </si>
  <si>
    <t>Jelentett pontszám</t>
  </si>
  <si>
    <t>Összesen.</t>
  </si>
  <si>
    <t>Összesen:</t>
  </si>
  <si>
    <t>trend</t>
  </si>
  <si>
    <t>Általános belgyógyászat</t>
  </si>
  <si>
    <t>Belgyógyászat-Diabetológia</t>
  </si>
  <si>
    <t>Gasztroenterológia</t>
  </si>
  <si>
    <t>Kardiológia</t>
  </si>
  <si>
    <t>Sebészet</t>
  </si>
  <si>
    <t>Traumatológia</t>
  </si>
  <si>
    <t>Proktológia</t>
  </si>
  <si>
    <t>Aneszteziológia</t>
  </si>
  <si>
    <t>Nőgyógyászat-terhesgond.</t>
  </si>
  <si>
    <t>Fül-orr - gégészet</t>
  </si>
  <si>
    <t>Audiológia</t>
  </si>
  <si>
    <t>Szemészet</t>
  </si>
  <si>
    <t>Bőrgyógyászat</t>
  </si>
  <si>
    <t>Allergológia</t>
  </si>
  <si>
    <t>Ideggyógyászat</t>
  </si>
  <si>
    <t>Elmegyógyászat</t>
  </si>
  <si>
    <t>Ortopédia</t>
  </si>
  <si>
    <t>Urológia</t>
  </si>
  <si>
    <t>Radiológia</t>
  </si>
  <si>
    <t>Reumatológia</t>
  </si>
  <si>
    <t>ODM-Menopausa</t>
  </si>
  <si>
    <t>Fizikotherapia</t>
  </si>
  <si>
    <t>Gyógytorna</t>
  </si>
  <si>
    <t>Fogászat (alapellátás)</t>
  </si>
  <si>
    <t>Fogászat (szakellátás)</t>
  </si>
  <si>
    <t>Összes szakrendelés</t>
  </si>
  <si>
    <t>Összes labor</t>
  </si>
  <si>
    <t>Összes fogászat</t>
  </si>
  <si>
    <t>összesen:</t>
  </si>
  <si>
    <t>Kardiológia-EKG</t>
  </si>
  <si>
    <t>összesen</t>
  </si>
  <si>
    <t>Esetszám</t>
  </si>
  <si>
    <t>Beavatkozások száma</t>
  </si>
  <si>
    <t>Pontszám</t>
  </si>
  <si>
    <t>%</t>
  </si>
  <si>
    <t>Belgyógyászat-diabetológia</t>
  </si>
  <si>
    <t>Fizikoterápia</t>
  </si>
  <si>
    <t>Fül-orr-gége</t>
  </si>
  <si>
    <t>Nőgyógyászat</t>
  </si>
  <si>
    <t>Reuma</t>
  </si>
  <si>
    <t>Röntgen</t>
  </si>
  <si>
    <t>Szegedi út összesen</t>
  </si>
  <si>
    <t>Visegrádi u. összesen</t>
  </si>
  <si>
    <t>Járóbeteg összesen</t>
  </si>
  <si>
    <t>Labor</t>
  </si>
  <si>
    <t>Fogászat</t>
  </si>
  <si>
    <t>Hónap</t>
  </si>
  <si>
    <t>Elvégzett műtétek száma szakmai bontásban</t>
  </si>
  <si>
    <t>Jelentett    HBCS súly</t>
  </si>
  <si>
    <t>Műtétek száma</t>
  </si>
  <si>
    <t>sebészet</t>
  </si>
  <si>
    <t>ortopédia</t>
  </si>
  <si>
    <t>szemészet</t>
  </si>
  <si>
    <t>urológia</t>
  </si>
  <si>
    <t>nőgyógyászat</t>
  </si>
  <si>
    <t>fül-orr-gége</t>
  </si>
  <si>
    <t>Január</t>
  </si>
  <si>
    <t>Február</t>
  </si>
  <si>
    <t>Március</t>
  </si>
  <si>
    <t>Április</t>
  </si>
  <si>
    <t>Május</t>
  </si>
  <si>
    <t>Június</t>
  </si>
  <si>
    <t>eltérés a jelentett és jelenthető pontok között</t>
  </si>
  <si>
    <t>tárgyhavi</t>
  </si>
  <si>
    <t>hibajavítás</t>
  </si>
  <si>
    <t>halmozott</t>
  </si>
  <si>
    <t>november</t>
  </si>
  <si>
    <t>december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</si>
  <si>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</si>
  <si>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</si>
  <si>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</si>
  <si>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</si>
  <si>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</si>
  <si>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</si>
  <si>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</si>
  <si>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</si>
  <si>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</si>
  <si>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</si>
  <si>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Szakfeladat</t>
  </si>
  <si>
    <t>Teljes munkaidő</t>
  </si>
  <si>
    <t>Részmunkaidő</t>
  </si>
  <si>
    <t>orvos</t>
  </si>
  <si>
    <t>felsőfokú végzettségű</t>
  </si>
  <si>
    <t>szakdolgozó</t>
  </si>
  <si>
    <t>egyéb</t>
  </si>
  <si>
    <t>Igazgatás</t>
  </si>
  <si>
    <t>Otthoni szakápolás</t>
  </si>
  <si>
    <t>Járóbeteg</t>
  </si>
  <si>
    <t>Egynapos sebészet</t>
  </si>
  <si>
    <t>Védőnői szolgálat</t>
  </si>
  <si>
    <t>Iskola-egészségügy</t>
  </si>
  <si>
    <t>Közreműködői szerződés</t>
  </si>
  <si>
    <t>Megbízási szerződés</t>
  </si>
  <si>
    <t>2015-ben jelenthető pontok</t>
  </si>
  <si>
    <t>2015-ben jelentett pontok</t>
  </si>
  <si>
    <t>2015-ben elfogadott pontok</t>
  </si>
  <si>
    <t>2015 terv</t>
  </si>
  <si>
    <t>2015          tény</t>
  </si>
  <si>
    <t>Július</t>
  </si>
  <si>
    <t>Augusztus</t>
  </si>
  <si>
    <t>Szeptember</t>
  </si>
  <si>
    <t>XIII. ker. Egészségügyi Szolgálat Közhasznú Nonprofit Kft.</t>
  </si>
  <si>
    <t>MÉRLEG "A" változat ESZKÖZÖK</t>
  </si>
  <si>
    <t>Megnevezés / E Ft</t>
  </si>
  <si>
    <t>2014.12.31 Záró</t>
  </si>
  <si>
    <t>A</t>
  </si>
  <si>
    <t>BEFEKTETETT ESZKÖZÖK</t>
  </si>
  <si>
    <t>I.</t>
  </si>
  <si>
    <t>IMMATERIÁLIS JAVAK</t>
  </si>
  <si>
    <t>I.1</t>
  </si>
  <si>
    <t>Alapítás-átszervezés aktivált értéke</t>
  </si>
  <si>
    <t>I.2</t>
  </si>
  <si>
    <t>Kísérleti fejlesztés aktivált értéke</t>
  </si>
  <si>
    <t>I.3</t>
  </si>
  <si>
    <t>Vagyoni értékű jogok</t>
  </si>
  <si>
    <t>I.4</t>
  </si>
  <si>
    <t>Szellemi termékek</t>
  </si>
  <si>
    <t>I.5</t>
  </si>
  <si>
    <t>Üzleti vagy cégérték</t>
  </si>
  <si>
    <t>I.6</t>
  </si>
  <si>
    <t>Immateriális javakra adott előlegek</t>
  </si>
  <si>
    <t>I.7</t>
  </si>
  <si>
    <t>Immateriális javak értékhelyesbítése</t>
  </si>
  <si>
    <t>II.</t>
  </si>
  <si>
    <t>TÁRGYI ESZKÖZÖK</t>
  </si>
  <si>
    <t>II.1</t>
  </si>
  <si>
    <t>Ingatlanok és kapcsolódó vagyoni értékű jogok</t>
  </si>
  <si>
    <t>II.2</t>
  </si>
  <si>
    <t>Műszaki berendezések, gépek, járművek</t>
  </si>
  <si>
    <t>II.3</t>
  </si>
  <si>
    <t>Egyéb berendezések, felszerelések, járművek</t>
  </si>
  <si>
    <t>II.4</t>
  </si>
  <si>
    <t>Tenyészállatok</t>
  </si>
  <si>
    <t>II.5</t>
  </si>
  <si>
    <t>Beruházások</t>
  </si>
  <si>
    <t>II.6</t>
  </si>
  <si>
    <t>Beruházásokra adott előleg</t>
  </si>
  <si>
    <t>II.7</t>
  </si>
  <si>
    <t>Tárgyi eszközök értékhelyesbítése</t>
  </si>
  <si>
    <t>III.</t>
  </si>
  <si>
    <t>BEFEKTETETT PÉNZÜGYI ESZKÖZÖK.</t>
  </si>
  <si>
    <t>III.1</t>
  </si>
  <si>
    <t>Tartós részesedések kapcsolt vállalkozásban</t>
  </si>
  <si>
    <t>III.2</t>
  </si>
  <si>
    <t>Tartósan adott kölcsön kapcsolt vállalkozásban</t>
  </si>
  <si>
    <t>III.3</t>
  </si>
  <si>
    <t>Egyéb tartós részesedés</t>
  </si>
  <si>
    <t>III.4</t>
  </si>
  <si>
    <t>Tartósan adott kölcsön egyéb részesedési viszonyban álló vállalkozásban</t>
  </si>
  <si>
    <t>III.5</t>
  </si>
  <si>
    <t>Egyéb tartósan adott kölcsön</t>
  </si>
  <si>
    <t>III.6</t>
  </si>
  <si>
    <t>Tartós hitelviszonyt megtestesítő értékpapír</t>
  </si>
  <si>
    <t>III.7</t>
  </si>
  <si>
    <t>Befektetett pénzügyi eszközök értékhelyesbítése</t>
  </si>
  <si>
    <t>III.8</t>
  </si>
  <si>
    <t>Befektetett pénzügyi eszközök értékelési különbözete</t>
  </si>
  <si>
    <t>B</t>
  </si>
  <si>
    <t>FORGÓESZKÖZÖK</t>
  </si>
  <si>
    <t>I</t>
  </si>
  <si>
    <t>KÉSZLETEK</t>
  </si>
  <si>
    <t>Anyagok</t>
  </si>
  <si>
    <t>Befejezetlen termelés és félkész termék</t>
  </si>
  <si>
    <t>Növendék-, hízó- és egyéb állatok</t>
  </si>
  <si>
    <t>Késztermékek</t>
  </si>
  <si>
    <t>Áruk</t>
  </si>
  <si>
    <t>Készletre adott előlegek</t>
  </si>
  <si>
    <t>KÖVETELÉSEK</t>
  </si>
  <si>
    <t>Követelések áruszállításból és szolgáltatásból</t>
  </si>
  <si>
    <t>Követelések kapcsolt vállalkozással szemben</t>
  </si>
  <si>
    <t>Követelések egyéb részesedési viszonyban lévő vállalkozással szemben</t>
  </si>
  <si>
    <t>Váltókövetelések</t>
  </si>
  <si>
    <t>Egyéb követelések</t>
  </si>
  <si>
    <t>Követelések értékelési különbözete</t>
  </si>
  <si>
    <t>Származékos ügyletek pozitív értékelési különbözete</t>
  </si>
  <si>
    <t>ÉRTÉKPAPÍROK</t>
  </si>
  <si>
    <t>Részesedés kapcsolt vállalkozásban</t>
  </si>
  <si>
    <t>Egyéb részesedés</t>
  </si>
  <si>
    <t>Saját részvények és részesedések</t>
  </si>
  <si>
    <t>Forgatási célú hitelviszonyt megtestesítő értékpapírok</t>
  </si>
  <si>
    <t>Értékpapírok értékelési különbözete</t>
  </si>
  <si>
    <t>IV.</t>
  </si>
  <si>
    <t>PÉNZESZKÖZÖK</t>
  </si>
  <si>
    <t>IV.1</t>
  </si>
  <si>
    <t>Pénztár, csekkek</t>
  </si>
  <si>
    <t>IV.2</t>
  </si>
  <si>
    <t>Bankbetétek</t>
  </si>
  <si>
    <t>C</t>
  </si>
  <si>
    <t>AKTÍV IDŐBELI ELHATÁROLÁSOK</t>
  </si>
  <si>
    <t>C.1</t>
  </si>
  <si>
    <t>Bevételek aktív időbeli elhatárolása</t>
  </si>
  <si>
    <t>C.2</t>
  </si>
  <si>
    <t>Költségek, ráfordítások aktív időbeli elhatárolása</t>
  </si>
  <si>
    <t>C.3</t>
  </si>
  <si>
    <t>Halasztott ráfordítások</t>
  </si>
  <si>
    <t>ESZKÖZÖK  ÖSSZESEN:</t>
  </si>
  <si>
    <t>MÉRLEG "A" változat FORRÁSOK</t>
  </si>
  <si>
    <t>D.</t>
  </si>
  <si>
    <t>SAJÁT TŐKE</t>
  </si>
  <si>
    <t>JEGYZETT TŐKE</t>
  </si>
  <si>
    <t>ebből visszavásárolt tulajdoni részesedés névértéken</t>
  </si>
  <si>
    <t>JEGYZETT, DE MÉG BE NEM FIZ. TŐKE</t>
  </si>
  <si>
    <t>TŐKETARTALÉK</t>
  </si>
  <si>
    <t xml:space="preserve">IV. </t>
  </si>
  <si>
    <t>EREDMÉNYTARTALÉK</t>
  </si>
  <si>
    <t>V.</t>
  </si>
  <si>
    <t>LEKÖTÖTT TARTALÉK</t>
  </si>
  <si>
    <t>VI.</t>
  </si>
  <si>
    <t>ÉRTÉKELÉSI TARTALÉK</t>
  </si>
  <si>
    <t>VI.1</t>
  </si>
  <si>
    <t>Értékhelyesbítés értékelési tartaléka</t>
  </si>
  <si>
    <t>VI.2</t>
  </si>
  <si>
    <t>Valós értékelés értékelési tartaléka</t>
  </si>
  <si>
    <t>VII.</t>
  </si>
  <si>
    <t>MÉRLEG SZERINTI EREDMÉNY</t>
  </si>
  <si>
    <t>E.</t>
  </si>
  <si>
    <t>CÉLTARTALÉKOK</t>
  </si>
  <si>
    <t>E.1</t>
  </si>
  <si>
    <t>Céltartalék a várható kötelezettségekre</t>
  </si>
  <si>
    <t>E.2</t>
  </si>
  <si>
    <t>Céltartalék a jövőbeni költségekre</t>
  </si>
  <si>
    <t>E.3</t>
  </si>
  <si>
    <t>Egyéb céltartalék</t>
  </si>
  <si>
    <t>F.</t>
  </si>
  <si>
    <t>KÖTELEZETTSÉGEK</t>
  </si>
  <si>
    <t>HÁTRASOROLT KÖTELEZETTSÉGEK</t>
  </si>
  <si>
    <t>Hátrasorolt kötelezettségek kapcsolt vállalkozással szemben</t>
  </si>
  <si>
    <t>Hátrasorolt kötelezettségek egyéb részesedési viszonyban lévő vállalkozással szemben</t>
  </si>
  <si>
    <t>Hátrasorolt kötelezettségek egyéb gazdálkodóval szemben</t>
  </si>
  <si>
    <t>HOSSZÚ LEJÁRATÚ KÖTELEZETTSÉGEK</t>
  </si>
  <si>
    <t>Hosszú lejáratra kapott kölcsönök</t>
  </si>
  <si>
    <t>Átváltoztatható kötvény</t>
  </si>
  <si>
    <t>Tartozások kötvénykibocsátásból</t>
  </si>
  <si>
    <t>Beruházási és  fejlesztési hitelek</t>
  </si>
  <si>
    <t>Egyéb hosszú lejáratú hitelek</t>
  </si>
  <si>
    <t>Tartós kötelezettségek kapcsolt vállalkozással szemben</t>
  </si>
  <si>
    <t>Tartós kötelezettségek egyéb részesedési viszonyban lévő vállalkozással szemben</t>
  </si>
  <si>
    <t>II.8</t>
  </si>
  <si>
    <t>Egyéb hosszú lejáratú kötelezettségek</t>
  </si>
  <si>
    <t>RÖVID LEJÁRATÚ KÖTELEZETTSÉGEK</t>
  </si>
  <si>
    <t>Rövid lejáratú kölcsönök</t>
  </si>
  <si>
    <t>ebből az átváltoztatható kötvények</t>
  </si>
  <si>
    <t>Rövid lejáratú hitelek</t>
  </si>
  <si>
    <t>Vevőtől kapott előlegek</t>
  </si>
  <si>
    <t>Kötelezettségek áruszállításból és szolgáltatásból</t>
  </si>
  <si>
    <t>Kötelezettségek anyavállalattal szemben</t>
  </si>
  <si>
    <t>Váltótartozások</t>
  </si>
  <si>
    <t>Rövid lejáratú kötelezettségek kapcsolt vállalkozással szemben</t>
  </si>
  <si>
    <t>Rövid lejáratú kötelezettségek egyéb részesedési viszonyban lévő vállalkozással szemben</t>
  </si>
  <si>
    <t>Egyéb rövid  lejáratú kötelezettségek</t>
  </si>
  <si>
    <t>III.9</t>
  </si>
  <si>
    <t>Kötelezettségek értékelési különbözete</t>
  </si>
  <si>
    <t>III.10</t>
  </si>
  <si>
    <t>Származékos ügyletek negatív értékelési különbözete</t>
  </si>
  <si>
    <t>G.</t>
  </si>
  <si>
    <t>PASSZÍV IDŐBELI ELHATÁROLÁSOK</t>
  </si>
  <si>
    <t>G.1</t>
  </si>
  <si>
    <t>Bevételek passzív időbeli elhatárolása</t>
  </si>
  <si>
    <t>G.2</t>
  </si>
  <si>
    <t>Költségek, ráfordítások passzív időbeli elhatárolása</t>
  </si>
  <si>
    <t>G.3</t>
  </si>
  <si>
    <t>Halasztott bevételek</t>
  </si>
  <si>
    <t>FORRÁSOK (PASSZÍVÁK ) ÖSSZESEN:</t>
  </si>
  <si>
    <t xml:space="preserve"> EREDMÉNYKIMUTATÁS ÖSSZKÖLTSÉG "A"</t>
  </si>
  <si>
    <t>Belföldi értékesítés nettó árbevétele</t>
  </si>
  <si>
    <t>OEP elszámolás</t>
  </si>
  <si>
    <t>saját tevékenység</t>
  </si>
  <si>
    <t>Export értékesítés nettó árbevétele</t>
  </si>
  <si>
    <t>ÉRTÉKESÍTÉS NETTÓ ÁRBEVÉTELE</t>
  </si>
  <si>
    <t>Saját termelésű készletek állományváltozása</t>
  </si>
  <si>
    <t>Saját előállítású eszközök  aktívált értéke</t>
  </si>
  <si>
    <t>AKTÍVÁLT SAJÁT TELJESÍTMÉNYEK ÉRTÉKE</t>
  </si>
  <si>
    <t>EGYÉB BEVÉTELEK</t>
  </si>
  <si>
    <t>Önkormányzati működési támogatás</t>
  </si>
  <si>
    <t>Egyéb bevétel</t>
  </si>
  <si>
    <t>ebből visszaírt értékvesztés</t>
  </si>
  <si>
    <t>Igénybe vett szolgáltatások</t>
  </si>
  <si>
    <t>Egyéb szolgáltatások értéke</t>
  </si>
  <si>
    <t>Eladott áruk beszerzési értéke</t>
  </si>
  <si>
    <t>ANYAGJELLEGŰ RÁFORDÍTÁSOK</t>
  </si>
  <si>
    <t>Bérjárulékok</t>
  </si>
  <si>
    <t>SZEMÉLYI JELLEGŰ RÁFORDÍTÁSOK</t>
  </si>
  <si>
    <t>ÉRTÉKCSÖKKENÉSI LEÍRÁS</t>
  </si>
  <si>
    <t>EGYÉB RÁFORDÍTÁSOK</t>
  </si>
  <si>
    <t>ebből értékvesztés</t>
  </si>
  <si>
    <t>ÜZEMI TEVÉKENYSÉG EREDMÉNYE</t>
  </si>
  <si>
    <t>Kapott osztalék és részesedés</t>
  </si>
  <si>
    <t>ebből kapcsolt vállalkozástól kapott</t>
  </si>
  <si>
    <t>Részesedés értékesítésének árfolyamnyeresége</t>
  </si>
  <si>
    <t>Befektetett pénzügyi eszközök kamatai, árfolyamnyeresége</t>
  </si>
  <si>
    <t>Egyéb kapott kamatok és kamatjellegű bevételek</t>
  </si>
  <si>
    <t>Pénzügyi műveletek egyéb bevételei</t>
  </si>
  <si>
    <t>ebből: értékelési különbözet</t>
  </si>
  <si>
    <t>IX.</t>
  </si>
  <si>
    <t>PÉNZÜGYI MŰVELETEK BEVÉTELEI</t>
  </si>
  <si>
    <t>Befektetett pénzügyi eszközök árfolyamvesztesége</t>
  </si>
  <si>
    <t>ebből kapcsolt vállalkozásnak adott</t>
  </si>
  <si>
    <t>Fizetendő kamatok és kamatjellegű ráfordítások</t>
  </si>
  <si>
    <t>Részesedések, értékpapírok, bankbetétek értékvesztése</t>
  </si>
  <si>
    <t>Pénzügyi műveletek egyéb ráfordításai</t>
  </si>
  <si>
    <t>X.</t>
  </si>
  <si>
    <t>PÉNZÜGYI MŰVELETEK RÁFORDÍTÁSAI</t>
  </si>
  <si>
    <t>Pénzügyi műveletek eredménye</t>
  </si>
  <si>
    <t>Szokásos vállalkozási eredmény</t>
  </si>
  <si>
    <t>XI.</t>
  </si>
  <si>
    <t>RENDKÍVÜLI BEVÉTELEK</t>
  </si>
  <si>
    <t>XII.</t>
  </si>
  <si>
    <t>RENDKÍVÜLI RÁFORDÍTÁSOK</t>
  </si>
  <si>
    <t>D</t>
  </si>
  <si>
    <t>RENDKÍVÜLI EREDMÉNY</t>
  </si>
  <si>
    <t>E</t>
  </si>
  <si>
    <t>ADÓZÁS ELŐTTI EREDMÉNY</t>
  </si>
  <si>
    <t>XIII.</t>
  </si>
  <si>
    <t>ADÓFIZETÉSI KÖTELEZETTSÉG</t>
  </si>
  <si>
    <t>F</t>
  </si>
  <si>
    <t xml:space="preserve">ADÓZOTT EREDMÉNY </t>
  </si>
  <si>
    <t>Eredménytartalék igénybevétele osztalékra</t>
  </si>
  <si>
    <t>Fizetett (jóváhagyott) osztalék és részesedés</t>
  </si>
  <si>
    <t>G</t>
  </si>
  <si>
    <t>2015.09.30 Záró</t>
  </si>
  <si>
    <t>EÜ. Dolgozók OEP bérkiegészítés</t>
  </si>
  <si>
    <t>OEP EÜ dolgozók bérkiegészítése</t>
  </si>
  <si>
    <t>2015 év tény</t>
  </si>
  <si>
    <t>2014. év</t>
  </si>
  <si>
    <t>2015. év</t>
  </si>
  <si>
    <t>2015. év aránya a tervhez képest</t>
  </si>
  <si>
    <t>2015. év aránya                                            a tervhez képest</t>
  </si>
  <si>
    <t>Október</t>
  </si>
  <si>
    <t>November</t>
  </si>
  <si>
    <t>December</t>
  </si>
  <si>
    <t>2015.12.31 Záró</t>
  </si>
  <si>
    <t>Illetménykiegészítés 2013.11.01.-től (védőnő, iskolaorvos)</t>
  </si>
  <si>
    <t>BERUHÁZÁS  2015.01.01. - 2015.12.31.</t>
  </si>
  <si>
    <t>Érték Ft</t>
  </si>
  <si>
    <t>JÁRÓBETEG</t>
  </si>
  <si>
    <t>vagyonért.jog</t>
  </si>
  <si>
    <t>Antivirus szoftver 1 éves licenc</t>
  </si>
  <si>
    <t>CT Ecostat frissités</t>
  </si>
  <si>
    <t xml:space="preserve">windows + office  5 -5 db </t>
  </si>
  <si>
    <t>gép,-müszer</t>
  </si>
  <si>
    <t>Szegedi  Fizikó</t>
  </si>
  <si>
    <t>szék kezelő galvánkádhoz</t>
  </si>
  <si>
    <t>kezelőfej   3 db</t>
  </si>
  <si>
    <t>Szegedi  Egynapos</t>
  </si>
  <si>
    <t>shaver kézidarab</t>
  </si>
  <si>
    <t>fénykábel</t>
  </si>
  <si>
    <t>multifúnkciós motor</t>
  </si>
  <si>
    <t>saggitális fűrészfej</t>
  </si>
  <si>
    <t>furó tokmány</t>
  </si>
  <si>
    <t>felfelé harapó keskeny + széles</t>
  </si>
  <si>
    <t>02 szenzor  altatógéphez</t>
  </si>
  <si>
    <t>ekg 3 csatornás</t>
  </si>
  <si>
    <t>sterilizáló készülék + bővítés + telepítés</t>
  </si>
  <si>
    <t>altatógéphez  akkumulátor</t>
  </si>
  <si>
    <t>Szegedi  Kardiológia</t>
  </si>
  <si>
    <t>ultrahang készülék    2 db</t>
  </si>
  <si>
    <t>fútószalag cardiosoft rendszer felújítása</t>
  </si>
  <si>
    <t>ultrahang készülék</t>
  </si>
  <si>
    <t>holter ekg 72 órás   4 db</t>
  </si>
  <si>
    <t>Szegedi  RTG</t>
  </si>
  <si>
    <t xml:space="preserve">ultrahang készülék    </t>
  </si>
  <si>
    <t>ultrahang készülékhez nyomtató</t>
  </si>
  <si>
    <t>mammográf készülékhez detektor hütőegység</t>
  </si>
  <si>
    <t>Szegedi  Gyógytorna</t>
  </si>
  <si>
    <t>váll-könyök-csukló mozgató készülék</t>
  </si>
  <si>
    <t>Visegrádi  Nőgyógy</t>
  </si>
  <si>
    <t>szék vizsgáló</t>
  </si>
  <si>
    <t>Visegrádi  Urológia</t>
  </si>
  <si>
    <t>Visegrádi   Szemészet</t>
  </si>
  <si>
    <t>látásvizsgáló tábla</t>
  </si>
  <si>
    <t>asztal műszer lemez lapos</t>
  </si>
  <si>
    <t>pachyméter</t>
  </si>
  <si>
    <t>Visegrádi  Fizikó</t>
  </si>
  <si>
    <t>kezelőfej</t>
  </si>
  <si>
    <t>krioterápiás készülék</t>
  </si>
  <si>
    <t>müszerállvány   4 db</t>
  </si>
  <si>
    <t>mágnesterápiás készülék</t>
  </si>
  <si>
    <t>lézer zuhany</t>
  </si>
  <si>
    <t>ultrahangterápiás készülék</t>
  </si>
  <si>
    <t>fellépő rozsdamentes</t>
  </si>
  <si>
    <t>galvánkád</t>
  </si>
  <si>
    <t>vacuther</t>
  </si>
  <si>
    <t>Visegrádi  Fül-orr-gége</t>
  </si>
  <si>
    <t>endoszkóp  3 db</t>
  </si>
  <si>
    <t>kezelőegység szennyvíz elvezető rendszer</t>
  </si>
  <si>
    <t>Szegedi  Szemészet</t>
  </si>
  <si>
    <t>oftalmoszkóp szett</t>
  </si>
  <si>
    <t>lencse V90D  diagnosztikai</t>
  </si>
  <si>
    <t>Szegedi  Nőgyógy</t>
  </si>
  <si>
    <t>hőlégsterilizátor</t>
  </si>
  <si>
    <t>Szegedi  Sebészet</t>
  </si>
  <si>
    <t>proktológiai szett</t>
  </si>
  <si>
    <t>Szegedi Urológia</t>
  </si>
  <si>
    <t>Szegedi Labor</t>
  </si>
  <si>
    <t>kémiai laborautomata készülék</t>
  </si>
  <si>
    <t>Szegedi Gasztro</t>
  </si>
  <si>
    <t>clip rakó + dormia</t>
  </si>
  <si>
    <t>video-gasztroszkop, video kolonoszkop</t>
  </si>
  <si>
    <t>bútor</t>
  </si>
  <si>
    <t>Visegrádi u</t>
  </si>
  <si>
    <t>bútorzat</t>
  </si>
  <si>
    <t>szekrény öltöző    4 db</t>
  </si>
  <si>
    <t>ügyvitel,-számt.</t>
  </si>
  <si>
    <t>nyomtató 20 db</t>
  </si>
  <si>
    <t>számítógép   5 db</t>
  </si>
  <si>
    <t>térfigyelő rendszer kamerákkal</t>
  </si>
  <si>
    <t>Szegedi  Labor</t>
  </si>
  <si>
    <t>vonlkód nyomtató</t>
  </si>
  <si>
    <t>szünetmentes áramforráshoz  akkumulátorok</t>
  </si>
  <si>
    <t>Szegedi Üzemeü.</t>
  </si>
  <si>
    <t>nyomtató</t>
  </si>
  <si>
    <t>Járóbeteg összesen:</t>
  </si>
  <si>
    <t>Központi írányítás</t>
  </si>
  <si>
    <t>ügyvit.számt</t>
  </si>
  <si>
    <t>telefon   3 db</t>
  </si>
  <si>
    <t>nyomtató   2 db</t>
  </si>
  <si>
    <t>Központi irányítás összesen:</t>
  </si>
  <si>
    <t>Védőnői szolg.</t>
  </si>
  <si>
    <t>szoftver védőnői upgrade visual    3 db</t>
  </si>
  <si>
    <t>védőnői körzetek bővítése   4 db</t>
  </si>
  <si>
    <t>ügyvit.számt.</t>
  </si>
  <si>
    <t>számítógép    11 db</t>
  </si>
  <si>
    <t>monitor    11 db</t>
  </si>
  <si>
    <t>nyomtató     4 db</t>
  </si>
  <si>
    <t>Fogászati ellátás</t>
  </si>
  <si>
    <t>gép-műszer</t>
  </si>
  <si>
    <t>kompresszor szivómotor tekercselése</t>
  </si>
  <si>
    <t>Mindösszesen:</t>
  </si>
  <si>
    <t>2015.01.01 -  2015.12.31.</t>
  </si>
  <si>
    <t>gép-,müszer</t>
  </si>
  <si>
    <t>ügyvitel-,számt.</t>
  </si>
  <si>
    <t>gépkocsi</t>
  </si>
  <si>
    <t>épület</t>
  </si>
  <si>
    <t>Védőnői Szolg.</t>
  </si>
  <si>
    <t>Fogászati ell.</t>
  </si>
  <si>
    <t>központi irányitás</t>
  </si>
  <si>
    <t>közérzetjavító</t>
  </si>
  <si>
    <t>11. sz. melléklet</t>
  </si>
  <si>
    <t>11/a sz. melléklet</t>
  </si>
  <si>
    <t>Budapest, XIII. kerület Szegedi út 17.sz.Egészségház Társasház</t>
  </si>
  <si>
    <t>2015.év</t>
  </si>
  <si>
    <t>BEVÉTEL eFt</t>
  </si>
  <si>
    <t>Éves terv</t>
  </si>
  <si>
    <t>Éves tény</t>
  </si>
  <si>
    <t xml:space="preserve">Közös költség </t>
  </si>
  <si>
    <t>KIADÁS eFt</t>
  </si>
  <si>
    <t>Éves  tény</t>
  </si>
  <si>
    <t>Közüzemi szolgáltatás</t>
  </si>
  <si>
    <t>Takarítás</t>
  </si>
  <si>
    <t>Őrzés-védelem</t>
  </si>
  <si>
    <t xml:space="preserve">Ingatlan karbantartás </t>
  </si>
  <si>
    <t>Lift karbantartás</t>
  </si>
  <si>
    <t>Szemétszállítás</t>
  </si>
  <si>
    <t>Tranzakciós-bankköltség</t>
  </si>
  <si>
    <t xml:space="preserve">Vagyonbiztosítás </t>
  </si>
  <si>
    <t xml:space="preserve">Közös képviseleti díj </t>
  </si>
  <si>
    <t xml:space="preserve">Összesen: </t>
  </si>
  <si>
    <t xml:space="preserve">Bevétel - Kiadás :   </t>
  </si>
  <si>
    <t>14. sz. melléklet</t>
  </si>
  <si>
    <t>Budapest, XIII. kerület Visegrádi u. 47/C- Alig u. 9.sz. Egészségház Társasház</t>
  </si>
  <si>
    <t>15. sz. melléklet</t>
  </si>
  <si>
    <t>2014.év</t>
  </si>
  <si>
    <t xml:space="preserve">2015.év aránya </t>
  </si>
  <si>
    <t>tervhez képest</t>
  </si>
  <si>
    <t>Jogi tan.+könyvvizsgálat</t>
  </si>
  <si>
    <t>Jogi tan.-könyvvizsgálat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</si>
</sst>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#,##0\ &quot;Ft&quot;"/>
  </numFmts>
  <fonts count="36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0"/>
      <name val="Times New Roman"/>
      <family val="1"/>
      <charset val="238"/>
    </font>
    <font>
      <sz val="26"/>
      <name val="Arial CE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</font>
    <font>
      <sz val="10"/>
      <name val="Times New Roman"/>
      <family val="1"/>
    </font>
    <font>
      <b/>
      <sz val="9"/>
      <name val="Arial Narrow"/>
      <family val="2"/>
      <charset val="238"/>
    </font>
    <font>
      <b/>
      <sz val="10"/>
      <name val="Times New Roman"/>
      <family val="1"/>
    </font>
    <font>
      <b/>
      <sz val="9"/>
      <name val="Times New Roman"/>
      <family val="1"/>
    </font>
    <font>
      <i/>
      <sz val="9"/>
      <name val="Arial Narrow"/>
      <family val="2"/>
      <charset val="238"/>
    </font>
    <font>
      <sz val="9"/>
      <name val="Arial Narrow"/>
      <family val="2"/>
    </font>
    <font>
      <sz val="9"/>
      <name val="Arial Narrow"/>
      <family val="2"/>
      <charset val="238"/>
    </font>
    <font>
      <sz val="9"/>
      <name val="Times New Roman"/>
      <family val="1"/>
    </font>
    <font>
      <b/>
      <sz val="9"/>
      <name val="Times New Roman"/>
      <family val="1"/>
      <charset val="238"/>
    </font>
    <font>
      <b/>
      <sz val="9"/>
      <name val="Arial Narrow"/>
      <family val="2"/>
    </font>
    <font>
      <b/>
      <sz val="10"/>
      <name val="Times New Roman"/>
      <family val="1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sz val="12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i/>
      <sz val="13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0" fontId="11" fillId="0" borderId="0"/>
    <xf numFmtId="0" fontId="11" fillId="0" borderId="0"/>
    <xf numFmtId="0" fontId="13" fillId="0" borderId="0"/>
    <xf numFmtId="0" fontId="2" fillId="0" borderId="0"/>
    <xf numFmtId="0" fontId="1" fillId="0" borderId="0"/>
  </cellStyleXfs>
  <cellXfs count="58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left" vertical="center" indent="1"/>
    </xf>
    <xf numFmtId="3" fontId="0" fillId="0" borderId="1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0" xfId="0" applyFont="1" applyAlignment="1">
      <alignment vertical="center"/>
    </xf>
    <xf numFmtId="3" fontId="0" fillId="0" borderId="6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5" fontId="4" fillId="0" borderId="1" xfId="0" applyNumberFormat="1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indent="1"/>
    </xf>
    <xf numFmtId="3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indent="4"/>
    </xf>
    <xf numFmtId="164" fontId="0" fillId="0" borderId="0" xfId="0" applyNumberFormat="1" applyAlignment="1">
      <alignment vertical="center"/>
    </xf>
    <xf numFmtId="3" fontId="4" fillId="0" borderId="14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4" fillId="0" borderId="1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6" fillId="0" borderId="1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65" fontId="0" fillId="0" borderId="0" xfId="0" applyNumberFormat="1" applyAlignment="1">
      <alignment vertical="center"/>
    </xf>
    <xf numFmtId="3" fontId="6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horizontal="left" vertical="center" indent="2"/>
    </xf>
    <xf numFmtId="165" fontId="6" fillId="0" borderId="1" xfId="0" applyNumberFormat="1" applyFont="1" applyBorder="1" applyAlignment="1">
      <alignment horizontal="left" vertical="center"/>
    </xf>
    <xf numFmtId="3" fontId="0" fillId="0" borderId="0" xfId="0" applyNumberForma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vertical="center"/>
    </xf>
    <xf numFmtId="3" fontId="6" fillId="0" borderId="5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6" fillId="0" borderId="18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3" fontId="0" fillId="0" borderId="22" xfId="0" applyNumberFormat="1" applyBorder="1" applyAlignment="1">
      <alignment vertical="center"/>
    </xf>
    <xf numFmtId="164" fontId="0" fillId="0" borderId="20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3" xfId="0" applyNumberFormat="1" applyFont="1" applyFill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3" fontId="0" fillId="0" borderId="2" xfId="0" applyNumberFormat="1" applyFont="1" applyBorder="1" applyAlignment="1">
      <alignment vertical="center"/>
    </xf>
    <xf numFmtId="3" fontId="0" fillId="0" borderId="24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vertical="center"/>
    </xf>
    <xf numFmtId="3" fontId="0" fillId="0" borderId="18" xfId="0" applyNumberFormat="1" applyFont="1" applyFill="1" applyBorder="1" applyAlignment="1">
      <alignment vertical="center"/>
    </xf>
    <xf numFmtId="3" fontId="8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vertical="center"/>
    </xf>
    <xf numFmtId="3" fontId="0" fillId="0" borderId="2" xfId="0" applyNumberFormat="1" applyFont="1" applyFill="1" applyBorder="1" applyAlignment="1">
      <alignment vertical="center"/>
    </xf>
    <xf numFmtId="3" fontId="0" fillId="0" borderId="23" xfId="0" applyNumberFormat="1" applyFont="1" applyFill="1" applyBorder="1" applyAlignment="1">
      <alignment vertical="center"/>
    </xf>
    <xf numFmtId="3" fontId="4" fillId="0" borderId="19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vertical="center"/>
    </xf>
    <xf numFmtId="3" fontId="6" fillId="0" borderId="4" xfId="0" applyNumberFormat="1" applyFont="1" applyBorder="1" applyAlignment="1">
      <alignment vertical="center"/>
    </xf>
    <xf numFmtId="3" fontId="6" fillId="0" borderId="25" xfId="0" applyNumberFormat="1" applyFont="1" applyBorder="1" applyAlignment="1">
      <alignment vertical="center"/>
    </xf>
    <xf numFmtId="3" fontId="6" fillId="0" borderId="6" xfId="0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65" fontId="6" fillId="0" borderId="4" xfId="0" applyNumberFormat="1" applyFont="1" applyBorder="1" applyAlignment="1">
      <alignment vertical="center"/>
    </xf>
    <xf numFmtId="165" fontId="4" fillId="0" borderId="4" xfId="0" applyNumberFormat="1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3" fontId="6" fillId="0" borderId="4" xfId="0" applyNumberFormat="1" applyFont="1" applyBorder="1" applyAlignment="1">
      <alignment horizontal="left" vertical="center" indent="2"/>
    </xf>
    <xf numFmtId="3" fontId="6" fillId="0" borderId="21" xfId="0" applyNumberFormat="1" applyFont="1" applyBorder="1" applyAlignment="1">
      <alignment horizontal="left" vertical="center" indent="2"/>
    </xf>
    <xf numFmtId="0" fontId="4" fillId="0" borderId="21" xfId="0" applyFont="1" applyBorder="1" applyAlignment="1">
      <alignment vertical="center"/>
    </xf>
    <xf numFmtId="3" fontId="4" fillId="0" borderId="26" xfId="0" applyNumberFormat="1" applyFont="1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6" fillId="0" borderId="23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3" fontId="10" fillId="0" borderId="0" xfId="0" applyNumberFormat="1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4" applyFont="1" applyAlignment="1">
      <alignment vertical="center"/>
    </xf>
    <xf numFmtId="1" fontId="6" fillId="0" borderId="2" xfId="4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13" fontId="6" fillId="0" borderId="3" xfId="3" applyNumberFormat="1" applyFont="1" applyBorder="1" applyAlignment="1">
      <alignment horizontal="center" vertical="center"/>
    </xf>
    <xf numFmtId="9" fontId="6" fillId="0" borderId="3" xfId="3" applyFont="1" applyBorder="1" applyAlignment="1">
      <alignment horizontal="center" vertical="center"/>
    </xf>
    <xf numFmtId="3" fontId="6" fillId="0" borderId="18" xfId="4" applyNumberFormat="1" applyFont="1" applyBorder="1" applyAlignment="1">
      <alignment vertical="center"/>
    </xf>
    <xf numFmtId="3" fontId="6" fillId="0" borderId="1" xfId="4" applyNumberFormat="1" applyFont="1" applyBorder="1" applyAlignment="1">
      <alignment vertical="center"/>
    </xf>
    <xf numFmtId="164" fontId="6" fillId="0" borderId="3" xfId="3" applyNumberFormat="1" applyFont="1" applyBorder="1" applyAlignment="1">
      <alignment horizontal="center" vertical="center"/>
    </xf>
    <xf numFmtId="0" fontId="6" fillId="0" borderId="23" xfId="4" applyFont="1" applyBorder="1" applyAlignment="1">
      <alignment horizontal="left" vertical="center"/>
    </xf>
    <xf numFmtId="0" fontId="6" fillId="0" borderId="25" xfId="4" applyFont="1" applyBorder="1" applyAlignment="1">
      <alignment horizontal="left" vertical="center"/>
    </xf>
    <xf numFmtId="3" fontId="6" fillId="0" borderId="20" xfId="4" applyNumberFormat="1" applyFont="1" applyBorder="1" applyAlignment="1">
      <alignment vertical="center"/>
    </xf>
    <xf numFmtId="3" fontId="6" fillId="0" borderId="6" xfId="4" applyNumberFormat="1" applyFont="1" applyBorder="1" applyAlignment="1">
      <alignment vertical="center"/>
    </xf>
    <xf numFmtId="164" fontId="6" fillId="0" borderId="19" xfId="3" applyNumberFormat="1" applyFont="1" applyBorder="1" applyAlignment="1">
      <alignment horizontal="center" vertical="center"/>
    </xf>
    <xf numFmtId="3" fontId="6" fillId="0" borderId="21" xfId="4" applyNumberFormat="1" applyFont="1" applyBorder="1" applyAlignment="1">
      <alignment vertical="center"/>
    </xf>
    <xf numFmtId="3" fontId="6" fillId="0" borderId="2" xfId="4" applyNumberFormat="1" applyFont="1" applyBorder="1" applyAlignment="1">
      <alignment vertical="center"/>
    </xf>
    <xf numFmtId="0" fontId="6" fillId="0" borderId="45" xfId="4" applyFont="1" applyBorder="1" applyAlignment="1">
      <alignment horizontal="left" vertical="center"/>
    </xf>
    <xf numFmtId="0" fontId="6" fillId="0" borderId="46" xfId="4" applyFont="1" applyBorder="1" applyAlignment="1">
      <alignment horizontal="left" vertical="center"/>
    </xf>
    <xf numFmtId="3" fontId="6" fillId="0" borderId="14" xfId="4" applyNumberFormat="1" applyFont="1" applyBorder="1" applyAlignment="1">
      <alignment vertical="center"/>
    </xf>
    <xf numFmtId="3" fontId="6" fillId="0" borderId="8" xfId="4" applyNumberFormat="1" applyFont="1" applyBorder="1" applyAlignment="1">
      <alignment vertical="center"/>
    </xf>
    <xf numFmtId="164" fontId="6" fillId="0" borderId="10" xfId="3" applyNumberFormat="1" applyFont="1" applyBorder="1" applyAlignment="1">
      <alignment horizontal="center" vertical="center"/>
    </xf>
    <xf numFmtId="3" fontId="6" fillId="0" borderId="47" xfId="4" applyNumberFormat="1" applyFont="1" applyBorder="1" applyAlignment="1">
      <alignment vertical="center"/>
    </xf>
    <xf numFmtId="0" fontId="6" fillId="0" borderId="45" xfId="4" applyFont="1" applyBorder="1" applyAlignment="1">
      <alignment vertical="center"/>
    </xf>
    <xf numFmtId="0" fontId="6" fillId="0" borderId="46" xfId="4" applyFont="1" applyBorder="1" applyAlignment="1">
      <alignment vertical="center"/>
    </xf>
    <xf numFmtId="3" fontId="6" fillId="0" borderId="38" xfId="4" applyNumberFormat="1" applyFont="1" applyBorder="1" applyAlignment="1">
      <alignment vertical="center"/>
    </xf>
    <xf numFmtId="3" fontId="6" fillId="0" borderId="48" xfId="4" applyNumberFormat="1" applyFont="1" applyBorder="1" applyAlignment="1">
      <alignment vertical="center"/>
    </xf>
    <xf numFmtId="164" fontId="6" fillId="0" borderId="49" xfId="3" applyNumberFormat="1" applyFont="1" applyBorder="1" applyAlignment="1">
      <alignment horizontal="center" vertical="center"/>
    </xf>
    <xf numFmtId="0" fontId="6" fillId="0" borderId="41" xfId="4" applyFont="1" applyBorder="1" applyAlignment="1">
      <alignment vertical="center"/>
    </xf>
    <xf numFmtId="0" fontId="6" fillId="0" borderId="0" xfId="4" applyFont="1" applyBorder="1" applyAlignment="1">
      <alignment vertical="center"/>
    </xf>
    <xf numFmtId="3" fontId="6" fillId="0" borderId="35" xfId="4" applyNumberFormat="1" applyFont="1" applyBorder="1" applyAlignment="1">
      <alignment vertical="center"/>
    </xf>
    <xf numFmtId="3" fontId="6" fillId="0" borderId="50" xfId="4" applyNumberFormat="1" applyFont="1" applyBorder="1" applyAlignment="1">
      <alignment vertical="center"/>
    </xf>
    <xf numFmtId="164" fontId="6" fillId="0" borderId="51" xfId="3" applyNumberFormat="1" applyFont="1" applyBorder="1" applyAlignment="1">
      <alignment horizontal="center" vertical="center"/>
    </xf>
    <xf numFmtId="3" fontId="6" fillId="0" borderId="46" xfId="4" applyNumberFormat="1" applyFont="1" applyBorder="1" applyAlignment="1">
      <alignment vertical="center"/>
    </xf>
    <xf numFmtId="3" fontId="6" fillId="0" borderId="53" xfId="4" applyNumberFormat="1" applyFont="1" applyBorder="1" applyAlignment="1">
      <alignment vertical="center"/>
    </xf>
    <xf numFmtId="164" fontId="6" fillId="0" borderId="54" xfId="3" applyNumberFormat="1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3" fontId="6" fillId="2" borderId="1" xfId="5" applyNumberFormat="1" applyFont="1" applyFill="1" applyBorder="1" applyAlignment="1">
      <alignment vertical="center"/>
    </xf>
    <xf numFmtId="3" fontId="6" fillId="0" borderId="55" xfId="4" applyNumberFormat="1" applyFont="1" applyBorder="1" applyAlignment="1">
      <alignment vertical="center"/>
    </xf>
    <xf numFmtId="164" fontId="6" fillId="0" borderId="3" xfId="3" applyNumberFormat="1" applyFont="1" applyBorder="1" applyAlignment="1">
      <alignment vertical="center"/>
    </xf>
    <xf numFmtId="3" fontId="6" fillId="0" borderId="5" xfId="4" applyNumberFormat="1" applyFont="1" applyBorder="1" applyAlignment="1">
      <alignment vertical="center"/>
    </xf>
    <xf numFmtId="3" fontId="6" fillId="0" borderId="25" xfId="4" applyNumberFormat="1" applyFont="1" applyBorder="1" applyAlignment="1">
      <alignment vertical="center"/>
    </xf>
    <xf numFmtId="3" fontId="6" fillId="2" borderId="21" xfId="5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3" fontId="0" fillId="0" borderId="11" xfId="0" applyNumberFormat="1" applyBorder="1" applyAlignment="1">
      <alignment vertical="center" wrapText="1"/>
    </xf>
    <xf numFmtId="3" fontId="0" fillId="0" borderId="12" xfId="0" applyNumberFormat="1" applyBorder="1" applyAlignment="1">
      <alignment vertical="center" wrapText="1"/>
    </xf>
    <xf numFmtId="164" fontId="3" fillId="0" borderId="13" xfId="3" applyNumberFormat="1" applyBorder="1" applyAlignment="1">
      <alignment horizontal="center" vertical="center" wrapText="1"/>
    </xf>
    <xf numFmtId="3" fontId="0" fillId="0" borderId="56" xfId="0" applyNumberFormat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3" fontId="0" fillId="0" borderId="2" xfId="0" applyNumberFormat="1" applyBorder="1" applyAlignment="1">
      <alignment vertical="center" wrapText="1"/>
    </xf>
    <xf numFmtId="164" fontId="3" fillId="0" borderId="3" xfId="3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4" xfId="0" applyNumberFormat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3" fontId="0" fillId="0" borderId="20" xfId="0" applyNumberFormat="1" applyBorder="1" applyAlignment="1">
      <alignment vertical="center" wrapText="1"/>
    </xf>
    <xf numFmtId="3" fontId="0" fillId="0" borderId="57" xfId="0" applyNumberFormat="1" applyBorder="1" applyAlignment="1">
      <alignment vertical="center" wrapText="1"/>
    </xf>
    <xf numFmtId="3" fontId="0" fillId="0" borderId="25" xfId="0" applyNumberForma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3" fontId="4" fillId="0" borderId="7" xfId="0" applyNumberFormat="1" applyFont="1" applyBorder="1" applyAlignment="1">
      <alignment vertical="center" wrapText="1"/>
    </xf>
    <xf numFmtId="3" fontId="4" fillId="0" borderId="15" xfId="0" applyNumberFormat="1" applyFont="1" applyBorder="1" applyAlignment="1">
      <alignment vertical="center" wrapText="1"/>
    </xf>
    <xf numFmtId="164" fontId="4" fillId="0" borderId="10" xfId="3" applyNumberFormat="1" applyFont="1" applyBorder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0" fillId="0" borderId="29" xfId="0" applyBorder="1" applyAlignment="1">
      <alignment vertical="center" wrapText="1"/>
    </xf>
    <xf numFmtId="3" fontId="0" fillId="0" borderId="27" xfId="0" applyNumberFormat="1" applyBorder="1" applyAlignment="1">
      <alignment vertical="center" wrapText="1"/>
    </xf>
    <xf numFmtId="3" fontId="0" fillId="0" borderId="32" xfId="0" applyNumberFormat="1" applyBorder="1" applyAlignment="1">
      <alignment vertical="center" wrapText="1"/>
    </xf>
    <xf numFmtId="164" fontId="3" fillId="0" borderId="33" xfId="3" applyNumberFormat="1" applyBorder="1" applyAlignment="1">
      <alignment horizontal="center" vertical="center" wrapText="1"/>
    </xf>
    <xf numFmtId="164" fontId="3" fillId="0" borderId="28" xfId="3" applyNumberFormat="1" applyBorder="1" applyAlignment="1">
      <alignment horizontal="center" vertical="center" wrapText="1"/>
    </xf>
    <xf numFmtId="3" fontId="0" fillId="0" borderId="29" xfId="0" applyNumberFormat="1" applyBorder="1" applyAlignment="1">
      <alignment vertical="center" wrapText="1"/>
    </xf>
    <xf numFmtId="164" fontId="3" fillId="0" borderId="4" xfId="3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vertical="center" wrapText="1"/>
    </xf>
    <xf numFmtId="3" fontId="4" fillId="0" borderId="9" xfId="0" applyNumberFormat="1" applyFont="1" applyBorder="1" applyAlignment="1">
      <alignment vertical="center" wrapText="1"/>
    </xf>
    <xf numFmtId="164" fontId="4" fillId="0" borderId="8" xfId="3" applyNumberFormat="1" applyFont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3" fontId="4" fillId="0" borderId="58" xfId="0" applyNumberFormat="1" applyFont="1" applyBorder="1" applyAlignment="1">
      <alignment vertical="center" wrapText="1"/>
    </xf>
    <xf numFmtId="3" fontId="4" fillId="0" borderId="48" xfId="0" applyNumberFormat="1" applyFont="1" applyBorder="1" applyAlignment="1">
      <alignment vertical="center" wrapText="1"/>
    </xf>
    <xf numFmtId="164" fontId="4" fillId="0" borderId="49" xfId="3" applyNumberFormat="1" applyFont="1" applyBorder="1" applyAlignment="1">
      <alignment horizontal="center" vertical="center" wrapText="1"/>
    </xf>
    <xf numFmtId="3" fontId="4" fillId="0" borderId="59" xfId="0" applyNumberFormat="1" applyFont="1" applyBorder="1" applyAlignment="1">
      <alignment vertical="center" wrapText="1"/>
    </xf>
    <xf numFmtId="164" fontId="4" fillId="0" borderId="55" xfId="3" applyNumberFormat="1" applyFont="1" applyBorder="1" applyAlignment="1">
      <alignment horizontal="center" vertical="center" wrapText="1"/>
    </xf>
    <xf numFmtId="0" fontId="0" fillId="0" borderId="38" xfId="0" applyBorder="1" applyAlignment="1">
      <alignment vertical="center" wrapText="1"/>
    </xf>
    <xf numFmtId="3" fontId="0" fillId="0" borderId="58" xfId="0" applyNumberFormat="1" applyBorder="1" applyAlignment="1">
      <alignment vertical="center" wrapText="1"/>
    </xf>
    <xf numFmtId="3" fontId="0" fillId="0" borderId="48" xfId="0" applyNumberFormat="1" applyBorder="1" applyAlignment="1">
      <alignment vertical="center" wrapText="1"/>
    </xf>
    <xf numFmtId="164" fontId="3" fillId="0" borderId="49" xfId="3" applyNumberFormat="1" applyBorder="1" applyAlignment="1">
      <alignment horizontal="center" vertical="center" wrapText="1"/>
    </xf>
    <xf numFmtId="3" fontId="0" fillId="0" borderId="55" xfId="0" applyNumberFormat="1" applyBorder="1" applyAlignment="1">
      <alignment vertical="center" wrapText="1"/>
    </xf>
    <xf numFmtId="0" fontId="0" fillId="0" borderId="6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60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4" fontId="0" fillId="0" borderId="60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3" fontId="0" fillId="0" borderId="60" xfId="0" applyNumberForma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4" fontId="0" fillId="0" borderId="60" xfId="0" applyNumberForma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center" vertical="center"/>
    </xf>
    <xf numFmtId="4" fontId="0" fillId="0" borderId="24" xfId="0" applyNumberFormat="1" applyFill="1" applyBorder="1" applyAlignment="1">
      <alignment horizontal="center" vertical="center"/>
    </xf>
    <xf numFmtId="3" fontId="4" fillId="0" borderId="6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" fontId="0" fillId="0" borderId="1" xfId="0" applyNumberForma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165" fontId="0" fillId="0" borderId="62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60" xfId="0" applyNumberFormat="1" applyBorder="1" applyAlignment="1">
      <alignment horizontal="center" vertical="center" wrapText="1"/>
    </xf>
    <xf numFmtId="165" fontId="0" fillId="0" borderId="44" xfId="0" applyNumberFormat="1" applyBorder="1" applyAlignment="1">
      <alignment horizontal="center" vertical="center" wrapText="1"/>
    </xf>
    <xf numFmtId="165" fontId="0" fillId="0" borderId="65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64" xfId="0" applyNumberForma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166" fontId="4" fillId="0" borderId="0" xfId="0" applyNumberFormat="1" applyFont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165" fontId="4" fillId="0" borderId="66" xfId="0" applyNumberFormat="1" applyFont="1" applyBorder="1" applyAlignment="1">
      <alignment horizontal="center" vertical="center" wrapText="1"/>
    </xf>
    <xf numFmtId="165" fontId="4" fillId="0" borderId="67" xfId="0" applyNumberFormat="1" applyFont="1" applyBorder="1" applyAlignment="1">
      <alignment horizontal="center" vertical="center" wrapText="1"/>
    </xf>
    <xf numFmtId="165" fontId="4" fillId="0" borderId="68" xfId="0" applyNumberFormat="1" applyFont="1" applyBorder="1" applyAlignment="1">
      <alignment horizontal="center" vertical="center" wrapText="1"/>
    </xf>
    <xf numFmtId="165" fontId="4" fillId="0" borderId="69" xfId="0" applyNumberFormat="1" applyFont="1" applyBorder="1" applyAlignment="1">
      <alignment horizontal="center" vertical="center" wrapText="1"/>
    </xf>
    <xf numFmtId="165" fontId="4" fillId="0" borderId="70" xfId="0" applyNumberFormat="1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65" fontId="5" fillId="0" borderId="18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165" fontId="5" fillId="0" borderId="61" xfId="0" applyNumberFormat="1" applyFont="1" applyBorder="1" applyAlignment="1">
      <alignment horizontal="center" vertical="center" wrapText="1"/>
    </xf>
    <xf numFmtId="165" fontId="4" fillId="0" borderId="18" xfId="0" applyNumberFormat="1" applyFont="1" applyBorder="1" applyAlignment="1">
      <alignment horizontal="center" vertical="center" wrapText="1"/>
    </xf>
    <xf numFmtId="165" fontId="4" fillId="0" borderId="63" xfId="0" applyNumberFormat="1" applyFont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 vertical="center" wrapText="1"/>
    </xf>
    <xf numFmtId="165" fontId="10" fillId="0" borderId="14" xfId="0" applyNumberFormat="1" applyFont="1" applyBorder="1" applyAlignment="1">
      <alignment horizontal="center" vertical="center" wrapText="1"/>
    </xf>
    <xf numFmtId="165" fontId="10" fillId="0" borderId="7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8" xfId="0" applyNumberFormat="1" applyFont="1" applyBorder="1" applyAlignment="1">
      <alignment vertical="center"/>
    </xf>
    <xf numFmtId="4" fontId="0" fillId="0" borderId="61" xfId="0" applyNumberForma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4" fontId="4" fillId="0" borderId="61" xfId="0" applyNumberFormat="1" applyFon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 wrapText="1"/>
    </xf>
    <xf numFmtId="4" fontId="0" fillId="0" borderId="44" xfId="0" applyNumberFormat="1" applyBorder="1" applyAlignment="1">
      <alignment horizontal="center" vertical="center" wrapText="1"/>
    </xf>
    <xf numFmtId="4" fontId="4" fillId="0" borderId="67" xfId="0" applyNumberFormat="1" applyFont="1" applyBorder="1" applyAlignment="1">
      <alignment horizontal="center" vertical="center" wrapText="1"/>
    </xf>
    <xf numFmtId="4" fontId="4" fillId="0" borderId="69" xfId="0" applyNumberFormat="1" applyFont="1" applyBorder="1" applyAlignment="1">
      <alignment horizontal="center" vertical="center" wrapText="1"/>
    </xf>
    <xf numFmtId="4" fontId="4" fillId="0" borderId="70" xfId="0" applyNumberFormat="1" applyFont="1" applyBorder="1" applyAlignment="1">
      <alignment horizontal="center" vertical="center" wrapText="1"/>
    </xf>
    <xf numFmtId="4" fontId="5" fillId="0" borderId="61" xfId="0" applyNumberFormat="1" applyFont="1" applyBorder="1" applyAlignment="1">
      <alignment horizontal="center" vertical="center" wrapText="1"/>
    </xf>
    <xf numFmtId="4" fontId="4" fillId="0" borderId="63" xfId="0" applyNumberFormat="1" applyFont="1" applyBorder="1" applyAlignment="1">
      <alignment horizontal="center" vertical="center" wrapText="1"/>
    </xf>
    <xf numFmtId="4" fontId="0" fillId="0" borderId="64" xfId="0" applyNumberFormat="1" applyBorder="1" applyAlignment="1">
      <alignment horizontal="center" vertical="center" wrapText="1"/>
    </xf>
    <xf numFmtId="0" fontId="13" fillId="0" borderId="0" xfId="6" applyAlignment="1">
      <alignment vertical="center"/>
    </xf>
    <xf numFmtId="0" fontId="16" fillId="0" borderId="7" xfId="6" applyNumberFormat="1" applyFont="1" applyFill="1" applyBorder="1" applyAlignment="1" applyProtection="1">
      <alignment horizontal="center" vertical="center"/>
    </xf>
    <xf numFmtId="0" fontId="16" fillId="0" borderId="9" xfId="6" applyNumberFormat="1" applyFont="1" applyFill="1" applyBorder="1" applyAlignment="1" applyProtection="1">
      <alignment horizontal="center" vertical="center"/>
    </xf>
    <xf numFmtId="0" fontId="14" fillId="0" borderId="9" xfId="6" applyNumberFormat="1" applyFont="1" applyFill="1" applyBorder="1" applyAlignment="1" applyProtection="1">
      <alignment horizontal="center" vertical="center"/>
    </xf>
    <xf numFmtId="14" fontId="17" fillId="0" borderId="9" xfId="6" applyNumberFormat="1" applyFont="1" applyFill="1" applyBorder="1" applyAlignment="1" applyProtection="1">
      <alignment horizontal="center" vertical="center" wrapText="1"/>
    </xf>
    <xf numFmtId="14" fontId="17" fillId="0" borderId="16" xfId="6" applyNumberFormat="1" applyFont="1" applyFill="1" applyBorder="1" applyAlignment="1" applyProtection="1">
      <alignment horizontal="center" vertical="center" wrapText="1"/>
    </xf>
    <xf numFmtId="0" fontId="16" fillId="0" borderId="2" xfId="6" applyNumberFormat="1" applyFont="1" applyFill="1" applyBorder="1" applyProtection="1"/>
    <xf numFmtId="0" fontId="16" fillId="0" borderId="1" xfId="6" applyNumberFormat="1" applyFont="1" applyFill="1" applyBorder="1" applyAlignment="1" applyProtection="1">
      <alignment horizontal="left"/>
    </xf>
    <xf numFmtId="3" fontId="18" fillId="0" borderId="12" xfId="6" applyNumberFormat="1" applyFont="1" applyFill="1" applyBorder="1" applyProtection="1"/>
    <xf numFmtId="3" fontId="18" fillId="0" borderId="43" xfId="6" applyNumberFormat="1" applyFont="1" applyFill="1" applyBorder="1" applyProtection="1"/>
    <xf numFmtId="0" fontId="13" fillId="0" borderId="0" xfId="6"/>
    <xf numFmtId="0" fontId="19" fillId="0" borderId="2" xfId="6" applyNumberFormat="1" applyFont="1" applyFill="1" applyBorder="1" applyProtection="1"/>
    <xf numFmtId="0" fontId="20" fillId="0" borderId="1" xfId="6" applyNumberFormat="1" applyFont="1" applyFill="1" applyBorder="1" applyAlignment="1" applyProtection="1">
      <alignment horizontal="left"/>
    </xf>
    <xf numFmtId="3" fontId="18" fillId="0" borderId="1" xfId="6" applyNumberFormat="1" applyFont="1" applyFill="1" applyBorder="1" applyProtection="1"/>
    <xf numFmtId="3" fontId="18" fillId="0" borderId="44" xfId="6" applyNumberFormat="1" applyFont="1" applyFill="1" applyBorder="1" applyProtection="1"/>
    <xf numFmtId="0" fontId="21" fillId="0" borderId="2" xfId="6" applyNumberFormat="1" applyFont="1" applyFill="1" applyBorder="1" applyProtection="1"/>
    <xf numFmtId="0" fontId="21" fillId="0" borderId="1" xfId="6" applyNumberFormat="1" applyFont="1" applyFill="1" applyBorder="1" applyAlignment="1" applyProtection="1">
      <alignment horizontal="left"/>
    </xf>
    <xf numFmtId="3" fontId="22" fillId="0" borderId="1" xfId="6" applyNumberFormat="1" applyFont="1" applyFill="1" applyBorder="1" applyProtection="1">
      <protection locked="0"/>
    </xf>
    <xf numFmtId="3" fontId="22" fillId="0" borderId="44" xfId="6" applyNumberFormat="1" applyFont="1" applyFill="1" applyBorder="1" applyProtection="1">
      <protection locked="0"/>
    </xf>
    <xf numFmtId="3" fontId="13" fillId="0" borderId="0" xfId="6" applyNumberFormat="1"/>
    <xf numFmtId="0" fontId="21" fillId="0" borderId="2" xfId="6" applyNumberFormat="1" applyFont="1" applyFill="1" applyBorder="1" applyAlignment="1" applyProtection="1">
      <alignment vertical="center" wrapText="1"/>
    </xf>
    <xf numFmtId="0" fontId="21" fillId="0" borderId="1" xfId="6" applyNumberFormat="1" applyFont="1" applyFill="1" applyBorder="1" applyAlignment="1" applyProtection="1">
      <alignment vertical="center" wrapText="1"/>
    </xf>
    <xf numFmtId="3" fontId="22" fillId="0" borderId="1" xfId="6" applyNumberFormat="1" applyFont="1" applyFill="1" applyBorder="1" applyAlignment="1" applyProtection="1">
      <alignment vertical="center" wrapText="1"/>
      <protection locked="0"/>
    </xf>
    <xf numFmtId="3" fontId="22" fillId="0" borderId="44" xfId="6" applyNumberFormat="1" applyFont="1" applyFill="1" applyBorder="1" applyAlignment="1" applyProtection="1">
      <alignment vertical="center" wrapText="1"/>
      <protection locked="0"/>
    </xf>
    <xf numFmtId="0" fontId="21" fillId="0" borderId="1" xfId="6" applyNumberFormat="1" applyFont="1" applyFill="1" applyBorder="1" applyAlignment="1" applyProtection="1">
      <alignment horizontal="left" wrapText="1"/>
    </xf>
    <xf numFmtId="0" fontId="20" fillId="0" borderId="2" xfId="6" applyNumberFormat="1" applyFont="1" applyFill="1" applyBorder="1" applyProtection="1"/>
    <xf numFmtId="0" fontId="16" fillId="0" borderId="7" xfId="6" applyNumberFormat="1" applyFont="1" applyFill="1" applyBorder="1" applyProtection="1"/>
    <xf numFmtId="0" fontId="16" fillId="0" borderId="9" xfId="6" applyNumberFormat="1" applyFont="1" applyFill="1" applyBorder="1" applyProtection="1"/>
    <xf numFmtId="0" fontId="16" fillId="0" borderId="9" xfId="6" applyNumberFormat="1" applyFont="1" applyFill="1" applyBorder="1" applyAlignment="1" applyProtection="1">
      <alignment horizontal="left"/>
    </xf>
    <xf numFmtId="3" fontId="18" fillId="0" borderId="9" xfId="6" applyNumberFormat="1" applyFont="1" applyFill="1" applyBorder="1" applyProtection="1"/>
    <xf numFmtId="3" fontId="18" fillId="0" borderId="16" xfId="6" applyNumberFormat="1" applyFont="1" applyFill="1" applyBorder="1" applyProtection="1"/>
    <xf numFmtId="0" fontId="21" fillId="0" borderId="0" xfId="6" applyNumberFormat="1" applyFont="1" applyFill="1" applyProtection="1"/>
    <xf numFmtId="0" fontId="22" fillId="0" borderId="0" xfId="6" applyNumberFormat="1" applyFont="1" applyFill="1" applyProtection="1"/>
    <xf numFmtId="3" fontId="18" fillId="0" borderId="32" xfId="6" applyNumberFormat="1" applyFont="1" applyFill="1" applyBorder="1" applyProtection="1"/>
    <xf numFmtId="3" fontId="18" fillId="0" borderId="31" xfId="6" applyNumberFormat="1" applyFont="1" applyFill="1" applyBorder="1" applyProtection="1"/>
    <xf numFmtId="0" fontId="21" fillId="0" borderId="11" xfId="6" applyNumberFormat="1" applyFont="1" applyFill="1" applyBorder="1" applyProtection="1"/>
    <xf numFmtId="0" fontId="21" fillId="0" borderId="12" xfId="6" applyNumberFormat="1" applyFont="1" applyFill="1" applyBorder="1" applyAlignment="1" applyProtection="1">
      <alignment horizontal="left"/>
    </xf>
    <xf numFmtId="3" fontId="22" fillId="0" borderId="1" xfId="6" applyNumberFormat="1" applyFont="1" applyFill="1" applyBorder="1" applyProtection="1"/>
    <xf numFmtId="3" fontId="22" fillId="0" borderId="44" xfId="6" applyNumberFormat="1" applyFont="1" applyFill="1" applyBorder="1" applyProtection="1"/>
    <xf numFmtId="3" fontId="17" fillId="0" borderId="1" xfId="6" applyNumberFormat="1" applyFont="1" applyFill="1" applyBorder="1" applyProtection="1">
      <protection locked="0"/>
    </xf>
    <xf numFmtId="3" fontId="17" fillId="0" borderId="44" xfId="6" applyNumberFormat="1" applyFont="1" applyFill="1" applyBorder="1" applyProtection="1">
      <protection locked="0"/>
    </xf>
    <xf numFmtId="0" fontId="21" fillId="0" borderId="1" xfId="6" applyNumberFormat="1" applyFont="1" applyFill="1" applyBorder="1" applyProtection="1"/>
    <xf numFmtId="0" fontId="21" fillId="0" borderId="2" xfId="6" applyNumberFormat="1" applyFont="1" applyFill="1" applyBorder="1" applyAlignment="1" applyProtection="1">
      <alignment vertical="center"/>
    </xf>
    <xf numFmtId="0" fontId="21" fillId="0" borderId="1" xfId="6" applyNumberFormat="1" applyFont="1" applyFill="1" applyBorder="1" applyAlignment="1" applyProtection="1">
      <alignment vertical="center"/>
    </xf>
    <xf numFmtId="3" fontId="23" fillId="0" borderId="1" xfId="6" applyNumberFormat="1" applyFont="1" applyFill="1" applyBorder="1" applyProtection="1">
      <protection locked="0"/>
    </xf>
    <xf numFmtId="3" fontId="23" fillId="0" borderId="44" xfId="6" applyNumberFormat="1" applyFont="1" applyFill="1" applyBorder="1" applyProtection="1">
      <protection locked="0"/>
    </xf>
    <xf numFmtId="3" fontId="18" fillId="0" borderId="1" xfId="6" applyNumberFormat="1" applyFont="1" applyFill="1" applyBorder="1" applyProtection="1">
      <protection locked="0"/>
    </xf>
    <xf numFmtId="3" fontId="18" fillId="0" borderId="44" xfId="6" applyNumberFormat="1" applyFont="1" applyFill="1" applyBorder="1" applyProtection="1">
      <protection locked="0"/>
    </xf>
    <xf numFmtId="0" fontId="16" fillId="0" borderId="1" xfId="6" applyNumberFormat="1" applyFont="1" applyFill="1" applyBorder="1" applyProtection="1"/>
    <xf numFmtId="0" fontId="21" fillId="0" borderId="46" xfId="6" applyNumberFormat="1" applyFont="1" applyFill="1" applyBorder="1" applyProtection="1"/>
    <xf numFmtId="3" fontId="18" fillId="0" borderId="9" xfId="6" applyNumberFormat="1" applyFont="1" applyFill="1" applyBorder="1" applyProtection="1">
      <protection locked="0"/>
    </xf>
    <xf numFmtId="3" fontId="18" fillId="0" borderId="16" xfId="6" applyNumberFormat="1" applyFont="1" applyFill="1" applyBorder="1" applyProtection="1">
      <protection locked="0"/>
    </xf>
    <xf numFmtId="0" fontId="21" fillId="0" borderId="35" xfId="6" applyNumberFormat="1" applyFont="1" applyFill="1" applyBorder="1" applyProtection="1"/>
    <xf numFmtId="0" fontId="21" fillId="0" borderId="35" xfId="6" applyNumberFormat="1" applyFont="1" applyFill="1" applyBorder="1" applyAlignment="1" applyProtection="1">
      <alignment horizontal="left"/>
    </xf>
    <xf numFmtId="3" fontId="22" fillId="0" borderId="35" xfId="6" applyNumberFormat="1" applyFont="1" applyFill="1" applyBorder="1" applyProtection="1">
      <protection locked="0"/>
    </xf>
    <xf numFmtId="0" fontId="21" fillId="0" borderId="0" xfId="6" applyNumberFormat="1" applyFont="1" applyFill="1" applyBorder="1" applyProtection="1"/>
    <xf numFmtId="0" fontId="21" fillId="0" borderId="0" xfId="6" applyNumberFormat="1" applyFont="1" applyFill="1" applyBorder="1" applyAlignment="1" applyProtection="1">
      <alignment horizontal="left"/>
    </xf>
    <xf numFmtId="3" fontId="22" fillId="0" borderId="0" xfId="6" applyNumberFormat="1" applyFont="1" applyFill="1" applyBorder="1" applyProtection="1">
      <protection locked="0"/>
    </xf>
    <xf numFmtId="0" fontId="13" fillId="0" borderId="0" xfId="6" applyBorder="1"/>
    <xf numFmtId="0" fontId="19" fillId="0" borderId="0" xfId="6" applyNumberFormat="1" applyFont="1" applyFill="1" applyBorder="1" applyProtection="1"/>
    <xf numFmtId="0" fontId="20" fillId="0" borderId="0" xfId="6" applyNumberFormat="1" applyFont="1" applyFill="1" applyBorder="1" applyAlignment="1" applyProtection="1">
      <alignment horizontal="left"/>
    </xf>
    <xf numFmtId="3" fontId="18" fillId="0" borderId="0" xfId="6" applyNumberFormat="1" applyFont="1" applyFill="1" applyBorder="1" applyProtection="1"/>
    <xf numFmtId="0" fontId="13" fillId="0" borderId="0" xfId="6" applyFill="1" applyBorder="1"/>
    <xf numFmtId="0" fontId="16" fillId="0" borderId="0" xfId="6" applyNumberFormat="1" applyFont="1" applyFill="1" applyBorder="1" applyProtection="1"/>
    <xf numFmtId="0" fontId="16" fillId="0" borderId="0" xfId="6" applyNumberFormat="1" applyFont="1" applyFill="1" applyBorder="1" applyAlignment="1" applyProtection="1">
      <alignment horizontal="left"/>
    </xf>
    <xf numFmtId="0" fontId="20" fillId="0" borderId="0" xfId="6" applyNumberFormat="1" applyFont="1" applyFill="1" applyBorder="1" applyProtection="1"/>
    <xf numFmtId="0" fontId="16" fillId="0" borderId="7" xfId="6" applyNumberFormat="1" applyFont="1" applyFill="1" applyBorder="1" applyAlignment="1" applyProtection="1">
      <alignment horizontal="center"/>
    </xf>
    <xf numFmtId="0" fontId="16" fillId="0" borderId="9" xfId="6" applyNumberFormat="1" applyFont="1" applyFill="1" applyBorder="1" applyAlignment="1" applyProtection="1">
      <alignment horizontal="center"/>
    </xf>
    <xf numFmtId="0" fontId="14" fillId="0" borderId="9" xfId="6" applyNumberFormat="1" applyFont="1" applyFill="1" applyBorder="1" applyAlignment="1" applyProtection="1">
      <alignment horizontal="center"/>
    </xf>
    <xf numFmtId="0" fontId="21" fillId="0" borderId="17" xfId="6" applyNumberFormat="1" applyFont="1" applyBorder="1" applyAlignment="1" applyProtection="1">
      <alignment horizontal="right"/>
    </xf>
    <xf numFmtId="0" fontId="21" fillId="0" borderId="12" xfId="6" applyNumberFormat="1" applyFont="1" applyBorder="1" applyAlignment="1" applyProtection="1">
      <alignment horizontal="left"/>
    </xf>
    <xf numFmtId="3" fontId="15" fillId="0" borderId="32" xfId="6" applyNumberFormat="1" applyFont="1" applyFill="1" applyBorder="1" applyProtection="1"/>
    <xf numFmtId="3" fontId="15" fillId="0" borderId="31" xfId="6" applyNumberFormat="1" applyFont="1" applyFill="1" applyBorder="1" applyProtection="1"/>
    <xf numFmtId="3" fontId="15" fillId="0" borderId="1" xfId="6" applyNumberFormat="1" applyFont="1" applyFill="1" applyBorder="1" applyProtection="1"/>
    <xf numFmtId="3" fontId="15" fillId="0" borderId="44" xfId="6" applyNumberFormat="1" applyFont="1" applyFill="1" applyBorder="1" applyProtection="1"/>
    <xf numFmtId="0" fontId="21" fillId="0" borderId="5" xfId="6" applyNumberFormat="1" applyFont="1" applyBorder="1" applyAlignment="1" applyProtection="1">
      <alignment horizontal="right"/>
    </xf>
    <xf numFmtId="0" fontId="21" fillId="0" borderId="1" xfId="6" applyNumberFormat="1" applyFont="1" applyBorder="1" applyAlignment="1" applyProtection="1">
      <alignment horizontal="left"/>
    </xf>
    <xf numFmtId="0" fontId="24" fillId="0" borderId="2" xfId="6" applyNumberFormat="1" applyFont="1" applyFill="1" applyBorder="1" applyProtection="1"/>
    <xf numFmtId="0" fontId="24" fillId="0" borderId="5" xfId="6" applyNumberFormat="1" applyFont="1" applyFill="1" applyBorder="1" applyAlignment="1" applyProtection="1">
      <alignment horizontal="left"/>
    </xf>
    <xf numFmtId="0" fontId="24" fillId="0" borderId="1" xfId="6" applyNumberFormat="1" applyFont="1" applyFill="1" applyBorder="1" applyAlignment="1" applyProtection="1">
      <alignment horizontal="left"/>
    </xf>
    <xf numFmtId="3" fontId="15" fillId="0" borderId="1" xfId="6" applyNumberFormat="1" applyFont="1" applyFill="1" applyBorder="1" applyProtection="1">
      <protection locked="0"/>
    </xf>
    <xf numFmtId="3" fontId="15" fillId="0" borderId="44" xfId="6" applyNumberFormat="1" applyFont="1" applyFill="1" applyBorder="1" applyProtection="1">
      <protection locked="0"/>
    </xf>
    <xf numFmtId="3" fontId="15" fillId="2" borderId="1" xfId="6" applyNumberFormat="1" applyFont="1" applyFill="1" applyBorder="1" applyProtection="1">
      <protection locked="0"/>
    </xf>
    <xf numFmtId="3" fontId="15" fillId="2" borderId="44" xfId="6" applyNumberFormat="1" applyFont="1" applyFill="1" applyBorder="1" applyProtection="1">
      <protection locked="0"/>
    </xf>
    <xf numFmtId="3" fontId="17" fillId="0" borderId="1" xfId="6" applyNumberFormat="1" applyFont="1" applyFill="1" applyBorder="1" applyProtection="1"/>
    <xf numFmtId="3" fontId="17" fillId="0" borderId="44" xfId="6" applyNumberFormat="1" applyFont="1" applyFill="1" applyBorder="1" applyProtection="1"/>
    <xf numFmtId="0" fontId="16" fillId="0" borderId="5" xfId="6" applyNumberFormat="1" applyFont="1" applyBorder="1" applyAlignment="1" applyProtection="1">
      <alignment horizontal="right"/>
    </xf>
    <xf numFmtId="0" fontId="16" fillId="0" borderId="1" xfId="6" applyNumberFormat="1" applyFont="1" applyBorder="1" applyAlignment="1" applyProtection="1">
      <alignment horizontal="left"/>
    </xf>
    <xf numFmtId="3" fontId="17" fillId="0" borderId="1" xfId="6" applyNumberFormat="1" applyFont="1" applyFill="1" applyBorder="1" applyAlignment="1" applyProtection="1">
      <alignment vertical="center" wrapText="1"/>
      <protection locked="0"/>
    </xf>
    <xf numFmtId="3" fontId="17" fillId="0" borderId="44" xfId="6" applyNumberFormat="1" applyFont="1" applyFill="1" applyBorder="1" applyAlignment="1" applyProtection="1">
      <alignment vertical="center" wrapText="1"/>
      <protection locked="0"/>
    </xf>
    <xf numFmtId="0" fontId="21" fillId="0" borderId="7" xfId="6" applyNumberFormat="1" applyFont="1" applyFill="1" applyBorder="1" applyProtection="1"/>
    <xf numFmtId="0" fontId="16" fillId="0" borderId="15" xfId="6" applyNumberFormat="1" applyFont="1" applyBorder="1" applyAlignment="1" applyProtection="1">
      <alignment horizontal="right"/>
    </xf>
    <xf numFmtId="0" fontId="16" fillId="0" borderId="9" xfId="6" applyNumberFormat="1" applyFont="1" applyBorder="1" applyAlignment="1" applyProtection="1">
      <alignment horizontal="left"/>
    </xf>
    <xf numFmtId="3" fontId="17" fillId="0" borderId="9" xfId="6" applyNumberFormat="1" applyFont="1" applyFill="1" applyBorder="1" applyProtection="1"/>
    <xf numFmtId="3" fontId="17" fillId="0" borderId="16" xfId="6" applyNumberFormat="1" applyFont="1" applyFill="1" applyBorder="1" applyProtection="1"/>
    <xf numFmtId="3" fontId="21" fillId="0" borderId="0" xfId="6" applyNumberFormat="1" applyFont="1" applyFill="1" applyBorder="1" applyProtection="1">
      <protection locked="0"/>
    </xf>
    <xf numFmtId="3" fontId="16" fillId="0" borderId="0" xfId="6" applyNumberFormat="1" applyFont="1" applyFill="1" applyBorder="1" applyProtection="1"/>
    <xf numFmtId="14" fontId="25" fillId="0" borderId="16" xfId="6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0" xfId="0" applyNumberFormat="1"/>
    <xf numFmtId="0" fontId="0" fillId="0" borderId="27" xfId="0" applyBorder="1"/>
    <xf numFmtId="0" fontId="0" fillId="0" borderId="32" xfId="0" applyBorder="1"/>
    <xf numFmtId="0" fontId="4" fillId="0" borderId="32" xfId="0" applyFont="1" applyBorder="1"/>
    <xf numFmtId="0" fontId="4" fillId="0" borderId="33" xfId="0" applyFont="1" applyBorder="1"/>
    <xf numFmtId="0" fontId="0" fillId="0" borderId="2" xfId="0" applyBorder="1"/>
    <xf numFmtId="0" fontId="4" fillId="0" borderId="1" xfId="0" applyFont="1" applyBorder="1"/>
    <xf numFmtId="0" fontId="0" fillId="0" borderId="1" xfId="0" applyBorder="1"/>
    <xf numFmtId="0" fontId="0" fillId="0" borderId="3" xfId="0" applyBorder="1"/>
    <xf numFmtId="0" fontId="10" fillId="0" borderId="2" xfId="0" applyFont="1" applyBorder="1"/>
    <xf numFmtId="3" fontId="0" fillId="0" borderId="3" xfId="0" applyNumberFormat="1" applyBorder="1"/>
    <xf numFmtId="0" fontId="0" fillId="0" borderId="1" xfId="0" applyFont="1" applyBorder="1"/>
    <xf numFmtId="3" fontId="10" fillId="0" borderId="0" xfId="0" applyNumberFormat="1" applyFont="1"/>
    <xf numFmtId="0" fontId="8" fillId="0" borderId="1" xfId="0" applyFont="1" applyBorder="1"/>
    <xf numFmtId="3" fontId="8" fillId="0" borderId="3" xfId="0" applyNumberFormat="1" applyFont="1" applyBorder="1"/>
    <xf numFmtId="0" fontId="4" fillId="0" borderId="2" xfId="0" applyFont="1" applyBorder="1"/>
    <xf numFmtId="0" fontId="10" fillId="0" borderId="20" xfId="0" applyFont="1" applyBorder="1"/>
    <xf numFmtId="0" fontId="0" fillId="0" borderId="6" xfId="0" applyBorder="1"/>
    <xf numFmtId="3" fontId="0" fillId="0" borderId="19" xfId="0" applyNumberFormat="1" applyBorder="1"/>
    <xf numFmtId="0" fontId="4" fillId="0" borderId="20" xfId="0" applyFont="1" applyBorder="1"/>
    <xf numFmtId="0" fontId="0" fillId="0" borderId="20" xfId="0" applyBorder="1"/>
    <xf numFmtId="0" fontId="4" fillId="0" borderId="6" xfId="0" applyFont="1" applyBorder="1"/>
    <xf numFmtId="3" fontId="4" fillId="0" borderId="19" xfId="0" applyNumberFormat="1" applyFont="1" applyBorder="1"/>
    <xf numFmtId="0" fontId="0" fillId="0" borderId="25" xfId="0" applyBorder="1"/>
    <xf numFmtId="3" fontId="0" fillId="0" borderId="25" xfId="0" applyNumberFormat="1" applyBorder="1"/>
    <xf numFmtId="3" fontId="0" fillId="0" borderId="0" xfId="0" applyNumberFormat="1" applyBorder="1"/>
    <xf numFmtId="0" fontId="0" fillId="0" borderId="46" xfId="0" applyBorder="1"/>
    <xf numFmtId="3" fontId="0" fillId="0" borderId="46" xfId="0" applyNumberFormat="1" applyBorder="1"/>
    <xf numFmtId="0" fontId="4" fillId="0" borderId="11" xfId="0" applyFont="1" applyBorder="1"/>
    <xf numFmtId="0" fontId="4" fillId="0" borderId="12" xfId="0" applyFont="1" applyBorder="1"/>
    <xf numFmtId="0" fontId="0" fillId="0" borderId="12" xfId="0" applyBorder="1"/>
    <xf numFmtId="3" fontId="0" fillId="0" borderId="13" xfId="0" applyNumberFormat="1" applyBorder="1"/>
    <xf numFmtId="0" fontId="0" fillId="0" borderId="7" xfId="0" applyBorder="1"/>
    <xf numFmtId="0" fontId="0" fillId="0" borderId="9" xfId="0" applyBorder="1"/>
    <xf numFmtId="0" fontId="10" fillId="0" borderId="9" xfId="0" applyFont="1" applyBorder="1"/>
    <xf numFmtId="3" fontId="10" fillId="0" borderId="10" xfId="0" applyNumberFormat="1" applyFont="1" applyBorder="1"/>
    <xf numFmtId="0" fontId="4" fillId="0" borderId="27" xfId="0" applyFont="1" applyBorder="1"/>
    <xf numFmtId="3" fontId="0" fillId="0" borderId="33" xfId="0" applyNumberFormat="1" applyBorder="1"/>
    <xf numFmtId="3" fontId="0" fillId="0" borderId="1" xfId="0" applyNumberFormat="1" applyBorder="1"/>
    <xf numFmtId="0" fontId="0" fillId="0" borderId="0" xfId="0" applyBorder="1"/>
    <xf numFmtId="0" fontId="4" fillId="0" borderId="0" xfId="0" applyFont="1" applyBorder="1"/>
    <xf numFmtId="0" fontId="10" fillId="0" borderId="0" xfId="0" applyFont="1" applyBorder="1"/>
    <xf numFmtId="3" fontId="4" fillId="0" borderId="0" xfId="0" applyNumberFormat="1" applyFont="1" applyBorder="1"/>
    <xf numFmtId="3" fontId="10" fillId="0" borderId="0" xfId="0" applyNumberFormat="1" applyFont="1" applyBorder="1"/>
    <xf numFmtId="0" fontId="26" fillId="0" borderId="0" xfId="0" applyFont="1" applyBorder="1"/>
    <xf numFmtId="0" fontId="27" fillId="0" borderId="0" xfId="0" applyFont="1" applyBorder="1" applyAlignment="1"/>
    <xf numFmtId="0" fontId="27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27" fillId="0" borderId="77" xfId="0" applyFont="1" applyBorder="1" applyAlignment="1"/>
    <xf numFmtId="0" fontId="4" fillId="0" borderId="78" xfId="0" applyFont="1" applyBorder="1" applyAlignment="1">
      <alignment horizontal="center"/>
    </xf>
    <xf numFmtId="0" fontId="4" fillId="0" borderId="78" xfId="0" applyFont="1" applyFill="1" applyBorder="1" applyAlignment="1">
      <alignment horizontal="center"/>
    </xf>
    <xf numFmtId="0" fontId="4" fillId="0" borderId="79" xfId="0" applyFont="1" applyFill="1" applyBorder="1" applyAlignment="1">
      <alignment horizontal="center"/>
    </xf>
    <xf numFmtId="0" fontId="4" fillId="0" borderId="80" xfId="0" applyFont="1" applyFill="1" applyBorder="1" applyAlignment="1">
      <alignment horizontal="center"/>
    </xf>
    <xf numFmtId="0" fontId="27" fillId="0" borderId="78" xfId="0" applyFont="1" applyBorder="1" applyAlignment="1"/>
    <xf numFmtId="0" fontId="27" fillId="0" borderId="78" xfId="0" applyFont="1" applyFill="1" applyBorder="1" applyAlignment="1"/>
    <xf numFmtId="0" fontId="27" fillId="0" borderId="79" xfId="0" applyFont="1" applyFill="1" applyBorder="1" applyAlignment="1"/>
    <xf numFmtId="0" fontId="27" fillId="0" borderId="80" xfId="0" applyFont="1" applyFill="1" applyBorder="1" applyAlignment="1"/>
    <xf numFmtId="0" fontId="6" fillId="0" borderId="77" xfId="0" applyFont="1" applyBorder="1"/>
    <xf numFmtId="3" fontId="26" fillId="0" borderId="78" xfId="0" applyNumberFormat="1" applyFont="1" applyBorder="1"/>
    <xf numFmtId="3" fontId="0" fillId="0" borderId="78" xfId="0" applyNumberFormat="1" applyBorder="1"/>
    <xf numFmtId="3" fontId="0" fillId="0" borderId="79" xfId="0" applyNumberFormat="1" applyBorder="1"/>
    <xf numFmtId="3" fontId="10" fillId="0" borderId="80" xfId="0" applyNumberFormat="1" applyFont="1" applyBorder="1"/>
    <xf numFmtId="3" fontId="26" fillId="0" borderId="78" xfId="0" applyNumberFormat="1" applyFont="1" applyBorder="1" applyAlignment="1"/>
    <xf numFmtId="3" fontId="26" fillId="0" borderId="78" xfId="0" applyNumberFormat="1" applyFont="1" applyBorder="1" applyAlignment="1">
      <alignment horizontal="right"/>
    </xf>
    <xf numFmtId="3" fontId="6" fillId="0" borderId="78" xfId="0" applyNumberFormat="1" applyFont="1" applyBorder="1"/>
    <xf numFmtId="3" fontId="0" fillId="0" borderId="80" xfId="0" applyNumberFormat="1" applyBorder="1"/>
    <xf numFmtId="0" fontId="4" fillId="0" borderId="77" xfId="0" applyFont="1" applyBorder="1"/>
    <xf numFmtId="3" fontId="27" fillId="0" borderId="78" xfId="0" applyNumberFormat="1" applyFont="1" applyBorder="1"/>
    <xf numFmtId="3" fontId="27" fillId="0" borderId="79" xfId="0" applyNumberFormat="1" applyFont="1" applyBorder="1"/>
    <xf numFmtId="3" fontId="27" fillId="0" borderId="80" xfId="0" applyNumberFormat="1" applyFont="1" applyBorder="1"/>
    <xf numFmtId="0" fontId="26" fillId="0" borderId="81" xfId="0" applyFont="1" applyBorder="1"/>
    <xf numFmtId="0" fontId="26" fillId="0" borderId="82" xfId="0" applyFont="1" applyBorder="1"/>
    <xf numFmtId="0" fontId="0" fillId="0" borderId="82" xfId="0" applyBorder="1"/>
    <xf numFmtId="0" fontId="0" fillId="0" borderId="83" xfId="0" applyBorder="1"/>
    <xf numFmtId="0" fontId="0" fillId="0" borderId="84" xfId="0" applyBorder="1"/>
    <xf numFmtId="0" fontId="28" fillId="0" borderId="0" xfId="0" applyFont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0" fontId="0" fillId="0" borderId="0" xfId="3" applyNumberFormat="1" applyFont="1" applyAlignment="1">
      <alignment horizontal="center" vertical="center"/>
    </xf>
    <xf numFmtId="10" fontId="0" fillId="0" borderId="0" xfId="3" applyNumberFormat="1" applyFont="1" applyAlignment="1">
      <alignment vertical="center" wrapText="1"/>
    </xf>
    <xf numFmtId="0" fontId="6" fillId="0" borderId="18" xfId="4" applyFont="1" applyBorder="1" applyAlignment="1">
      <alignment horizontal="left" vertical="center"/>
    </xf>
    <xf numFmtId="0" fontId="6" fillId="0" borderId="24" xfId="4" applyFont="1" applyBorder="1" applyAlignment="1">
      <alignment horizontal="left" vertical="center"/>
    </xf>
    <xf numFmtId="0" fontId="6" fillId="0" borderId="34" xfId="4" applyFont="1" applyBorder="1" applyAlignment="1">
      <alignment horizontal="center" vertical="center"/>
    </xf>
    <xf numFmtId="0" fontId="6" fillId="0" borderId="35" xfId="4" applyFont="1" applyBorder="1" applyAlignment="1">
      <alignment horizontal="center" vertical="center"/>
    </xf>
    <xf numFmtId="0" fontId="6" fillId="0" borderId="37" xfId="4" applyFont="1" applyBorder="1" applyAlignment="1">
      <alignment horizontal="center" vertical="center"/>
    </xf>
    <xf numFmtId="0" fontId="6" fillId="0" borderId="41" xfId="4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6" fillId="0" borderId="42" xfId="4" applyFont="1" applyBorder="1" applyAlignment="1">
      <alignment horizontal="center" vertical="center"/>
    </xf>
    <xf numFmtId="0" fontId="6" fillId="0" borderId="26" xfId="4" applyFont="1" applyBorder="1" applyAlignment="1">
      <alignment horizontal="center" vertical="center"/>
    </xf>
    <xf numFmtId="0" fontId="6" fillId="0" borderId="36" xfId="4" applyFont="1" applyBorder="1" applyAlignment="1">
      <alignment horizontal="center" vertical="center"/>
    </xf>
    <xf numFmtId="0" fontId="6" fillId="0" borderId="43" xfId="4" applyFont="1" applyBorder="1" applyAlignment="1">
      <alignment horizontal="center" vertical="center"/>
    </xf>
    <xf numFmtId="0" fontId="6" fillId="0" borderId="38" xfId="4" applyFont="1" applyBorder="1" applyAlignment="1">
      <alignment horizontal="center" vertical="center"/>
    </xf>
    <xf numFmtId="0" fontId="6" fillId="0" borderId="39" xfId="4" applyFont="1" applyBorder="1" applyAlignment="1">
      <alignment horizontal="center" vertical="center"/>
    </xf>
    <xf numFmtId="0" fontId="6" fillId="0" borderId="40" xfId="4" applyFont="1" applyBorder="1" applyAlignment="1">
      <alignment horizontal="center" vertical="center"/>
    </xf>
    <xf numFmtId="0" fontId="6" fillId="0" borderId="29" xfId="4" applyFont="1" applyBorder="1" applyAlignment="1">
      <alignment horizontal="center" vertical="center"/>
    </xf>
    <xf numFmtId="0" fontId="6" fillId="0" borderId="30" xfId="4" applyFont="1" applyBorder="1" applyAlignment="1">
      <alignment horizontal="center" vertical="center"/>
    </xf>
    <xf numFmtId="0" fontId="6" fillId="0" borderId="31" xfId="4" applyFont="1" applyBorder="1" applyAlignment="1">
      <alignment horizontal="center" vertical="center"/>
    </xf>
    <xf numFmtId="0" fontId="6" fillId="0" borderId="26" xfId="4" applyFont="1" applyBorder="1" applyAlignment="1">
      <alignment horizontal="left" vertical="center"/>
    </xf>
    <xf numFmtId="0" fontId="6" fillId="0" borderId="36" xfId="4" applyFont="1" applyBorder="1" applyAlignment="1">
      <alignment horizontal="left" vertical="center"/>
    </xf>
    <xf numFmtId="0" fontId="6" fillId="0" borderId="44" xfId="4" applyFont="1" applyBorder="1" applyAlignment="1">
      <alignment horizontal="left" vertical="center"/>
    </xf>
    <xf numFmtId="0" fontId="6" fillId="0" borderId="34" xfId="4" applyFont="1" applyBorder="1" applyAlignment="1">
      <alignment horizontal="left" vertical="center"/>
    </xf>
    <xf numFmtId="0" fontId="6" fillId="0" borderId="35" xfId="4" applyFont="1" applyBorder="1" applyAlignment="1">
      <alignment horizontal="left" vertical="center"/>
    </xf>
    <xf numFmtId="0" fontId="6" fillId="0" borderId="37" xfId="4" applyFont="1" applyBorder="1" applyAlignment="1">
      <alignment horizontal="left" vertical="center"/>
    </xf>
    <xf numFmtId="0" fontId="6" fillId="0" borderId="45" xfId="4" applyFont="1" applyBorder="1" applyAlignment="1">
      <alignment horizontal="left" vertical="center"/>
    </xf>
    <xf numFmtId="0" fontId="6" fillId="0" borderId="46" xfId="4" applyFont="1" applyBorder="1" applyAlignment="1">
      <alignment horizontal="left" vertical="center"/>
    </xf>
    <xf numFmtId="0" fontId="6" fillId="0" borderId="52" xfId="4" applyFont="1" applyBorder="1" applyAlignment="1">
      <alignment horizontal="left" vertical="center"/>
    </xf>
    <xf numFmtId="0" fontId="6" fillId="0" borderId="18" xfId="4" applyFont="1" applyBorder="1" applyAlignment="1">
      <alignment vertical="center"/>
    </xf>
    <xf numFmtId="0" fontId="6" fillId="0" borderId="24" xfId="4" applyFont="1" applyBorder="1" applyAlignment="1">
      <alignment vertical="center"/>
    </xf>
    <xf numFmtId="0" fontId="6" fillId="0" borderId="44" xfId="4" applyFont="1" applyBorder="1" applyAlignment="1">
      <alignment vertical="center"/>
    </xf>
    <xf numFmtId="0" fontId="0" fillId="0" borderId="34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3" fontId="6" fillId="0" borderId="30" xfId="0" applyNumberFormat="1" applyFont="1" applyBorder="1" applyAlignment="1">
      <alignment horizontal="center" vertical="center" wrapText="1"/>
    </xf>
    <xf numFmtId="3" fontId="6" fillId="0" borderId="29" xfId="0" applyNumberFormat="1" applyFont="1" applyBorder="1" applyAlignment="1">
      <alignment horizontal="center" vertical="center" wrapText="1"/>
    </xf>
    <xf numFmtId="3" fontId="6" fillId="0" borderId="31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1" xfId="0" applyBorder="1" applyAlignment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38" xfId="0" applyFont="1" applyBorder="1" applyAlignment="1"/>
    <xf numFmtId="0" fontId="0" fillId="0" borderId="39" xfId="0" applyBorder="1" applyAlignment="1"/>
    <xf numFmtId="0" fontId="0" fillId="0" borderId="40" xfId="0" applyBorder="1" applyAlignment="1"/>
    <xf numFmtId="0" fontId="4" fillId="0" borderId="0" xfId="0" applyFont="1" applyBorder="1" applyAlignment="1"/>
    <xf numFmtId="0" fontId="0" fillId="0" borderId="0" xfId="0" applyBorder="1" applyAlignment="1"/>
    <xf numFmtId="0" fontId="27" fillId="0" borderId="74" xfId="0" applyFont="1" applyBorder="1" applyAlignment="1"/>
    <xf numFmtId="0" fontId="27" fillId="0" borderId="75" xfId="0" applyFont="1" applyBorder="1" applyAlignment="1"/>
    <xf numFmtId="0" fontId="0" fillId="0" borderId="75" xfId="0" applyBorder="1" applyAlignment="1"/>
    <xf numFmtId="0" fontId="0" fillId="0" borderId="76" xfId="0" applyBorder="1" applyAlignment="1"/>
    <xf numFmtId="0" fontId="14" fillId="0" borderId="29" xfId="6" applyFont="1" applyBorder="1" applyAlignment="1">
      <alignment horizontal="center" vertical="center"/>
    </xf>
    <xf numFmtId="0" fontId="14" fillId="0" borderId="30" xfId="6" applyFont="1" applyBorder="1" applyAlignment="1">
      <alignment horizontal="center" vertical="center"/>
    </xf>
    <xf numFmtId="0" fontId="14" fillId="0" borderId="31" xfId="6" applyFont="1" applyBorder="1" applyAlignment="1">
      <alignment horizontal="center" vertical="center"/>
    </xf>
    <xf numFmtId="0" fontId="13" fillId="0" borderId="41" xfId="6" applyBorder="1" applyAlignment="1">
      <alignment horizontal="right" vertical="center"/>
    </xf>
    <xf numFmtId="0" fontId="13" fillId="0" borderId="0" xfId="6" applyAlignment="1">
      <alignment horizontal="right" vertical="center"/>
    </xf>
    <xf numFmtId="0" fontId="15" fillId="0" borderId="18" xfId="6" applyFont="1" applyBorder="1" applyAlignment="1">
      <alignment horizontal="center" vertical="center"/>
    </xf>
    <xf numFmtId="0" fontId="15" fillId="0" borderId="24" xfId="6" applyFont="1" applyBorder="1" applyAlignment="1">
      <alignment horizontal="center" vertical="center"/>
    </xf>
    <xf numFmtId="0" fontId="15" fillId="0" borderId="44" xfId="6" applyFont="1" applyBorder="1" applyAlignment="1">
      <alignment horizontal="center" vertical="center"/>
    </xf>
    <xf numFmtId="0" fontId="16" fillId="0" borderId="18" xfId="6" applyNumberFormat="1" applyFont="1" applyFill="1" applyBorder="1" applyAlignment="1" applyProtection="1">
      <alignment horizontal="center" vertical="center"/>
    </xf>
    <xf numFmtId="0" fontId="13" fillId="0" borderId="24" xfId="6" applyBorder="1" applyAlignment="1">
      <alignment horizontal="center" vertical="center"/>
    </xf>
    <xf numFmtId="0" fontId="13" fillId="0" borderId="5" xfId="6" applyBorder="1" applyAlignment="1">
      <alignment horizontal="center" vertical="center"/>
    </xf>
    <xf numFmtId="0" fontId="14" fillId="0" borderId="4" xfId="6" applyNumberFormat="1" applyFont="1" applyFill="1" applyBorder="1" applyAlignment="1" applyProtection="1">
      <alignment horizontal="center" vertical="center"/>
    </xf>
    <xf numFmtId="0" fontId="14" fillId="0" borderId="44" xfId="6" applyNumberFormat="1" applyFont="1" applyFill="1" applyBorder="1" applyAlignment="1" applyProtection="1">
      <alignment horizontal="center" vertical="center"/>
    </xf>
    <xf numFmtId="0" fontId="15" fillId="0" borderId="18" xfId="6" applyFont="1" applyBorder="1" applyAlignment="1">
      <alignment horizontal="center"/>
    </xf>
    <xf numFmtId="0" fontId="15" fillId="0" borderId="24" xfId="6" applyFont="1" applyBorder="1" applyAlignment="1">
      <alignment horizontal="center"/>
    </xf>
    <xf numFmtId="0" fontId="15" fillId="0" borderId="44" xfId="6" applyFont="1" applyBorder="1" applyAlignment="1">
      <alignment horizontal="center"/>
    </xf>
    <xf numFmtId="0" fontId="16" fillId="0" borderId="18" xfId="6" applyNumberFormat="1" applyFont="1" applyFill="1" applyBorder="1" applyAlignment="1" applyProtection="1">
      <alignment horizontal="center"/>
    </xf>
    <xf numFmtId="0" fontId="13" fillId="0" borderId="24" xfId="6" applyBorder="1" applyAlignment="1">
      <alignment horizontal="center"/>
    </xf>
    <xf numFmtId="0" fontId="13" fillId="0" borderId="5" xfId="6" applyBorder="1" applyAlignment="1">
      <alignment horizontal="center"/>
    </xf>
    <xf numFmtId="0" fontId="14" fillId="0" borderId="18" xfId="6" applyFont="1" applyBorder="1" applyAlignment="1">
      <alignment horizontal="center"/>
    </xf>
    <xf numFmtId="0" fontId="14" fillId="0" borderId="24" xfId="6" applyFont="1" applyBorder="1" applyAlignment="1">
      <alignment horizontal="center"/>
    </xf>
    <xf numFmtId="0" fontId="14" fillId="0" borderId="44" xfId="6" applyFont="1" applyBorder="1" applyAlignment="1">
      <alignment horizontal="center"/>
    </xf>
    <xf numFmtId="0" fontId="14" fillId="0" borderId="26" xfId="6" applyFont="1" applyBorder="1" applyAlignment="1">
      <alignment horizontal="center"/>
    </xf>
    <xf numFmtId="0" fontId="13" fillId="0" borderId="36" xfId="6" applyBorder="1" applyAlignment="1">
      <alignment horizontal="center"/>
    </xf>
    <xf numFmtId="0" fontId="13" fillId="0" borderId="43" xfId="6" applyBorder="1" applyAlignment="1">
      <alignment horizontal="center"/>
    </xf>
    <xf numFmtId="0" fontId="1" fillId="0" borderId="0" xfId="8"/>
    <xf numFmtId="0" fontId="30" fillId="0" borderId="0" xfId="8" applyFont="1"/>
    <xf numFmtId="0" fontId="32" fillId="0" borderId="0" xfId="8" applyFont="1"/>
    <xf numFmtId="0" fontId="31" fillId="0" borderId="0" xfId="8" applyFont="1" applyAlignment="1">
      <alignment horizontal="right"/>
    </xf>
    <xf numFmtId="0" fontId="35" fillId="0" borderId="0" xfId="8" applyFont="1" applyAlignment="1">
      <alignment horizontal="right"/>
    </xf>
    <xf numFmtId="0" fontId="33" fillId="0" borderId="0" xfId="8" applyFont="1"/>
    <xf numFmtId="0" fontId="34" fillId="0" borderId="0" xfId="8" applyFont="1" applyAlignment="1">
      <alignment horizontal="right"/>
    </xf>
    <xf numFmtId="3" fontId="29" fillId="0" borderId="0" xfId="8" applyNumberFormat="1" applyFont="1" applyAlignment="1">
      <alignment horizontal="right"/>
    </xf>
    <xf numFmtId="3" fontId="29" fillId="0" borderId="0" xfId="8" applyNumberFormat="1" applyFont="1"/>
    <xf numFmtId="10" fontId="29" fillId="0" borderId="0" xfId="8" applyNumberFormat="1" applyFont="1"/>
    <xf numFmtId="3" fontId="1" fillId="0" borderId="0" xfId="8" applyNumberFormat="1" applyAlignment="1">
      <alignment horizontal="right"/>
    </xf>
    <xf numFmtId="10" fontId="1" fillId="0" borderId="0" xfId="8" applyNumberFormat="1"/>
    <xf numFmtId="3" fontId="1" fillId="0" borderId="0" xfId="8" applyNumberFormat="1"/>
    <xf numFmtId="3" fontId="34" fillId="0" borderId="0" xfId="8" applyNumberFormat="1" applyFont="1" applyAlignment="1">
      <alignment horizontal="right"/>
    </xf>
    <xf numFmtId="10" fontId="1" fillId="0" borderId="0" xfId="8" applyNumberFormat="1" applyAlignment="1">
      <alignment horizontal="right"/>
    </xf>
    <xf numFmtId="3" fontId="33" fillId="0" borderId="0" xfId="8" applyNumberFormat="1" applyFont="1"/>
  </cellXfs>
  <cellStyles count="9">
    <cellStyle name="Normál" xfId="0" builtinId="0"/>
    <cellStyle name="Normál 2" xfId="1"/>
    <cellStyle name="Normál 3" xfId="7"/>
    <cellStyle name="Normál 4" xfId="8"/>
    <cellStyle name="Normal_1997os osztalékkorlát" xfId="2"/>
    <cellStyle name="Normál_3STATHO" xfId="5"/>
    <cellStyle name="Normál_6STATHO" xfId="4"/>
    <cellStyle name="Normál_KHTmérleg2008év" xfId="6"/>
    <cellStyle name="Százalék" xfId="3" builtinId="5"/>
  </cellStyles>
  <dxfs count="37">
    <dxf>
      <fill>
        <patternFill>
          <bgColor rgb="FFFFC00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M3" sqref="M3"/>
    </sheetView>
  </sheetViews>
  <sheetFormatPr defaultColWidth="9" defaultRowHeight="13.5" customHeight="1" x14ac:dyDescent="0.2"/>
  <cols>
    <col min="1" max="3" width="9" style="131" customWidth="1"/>
    <col min="4" max="5" width="11.7109375" style="131" customWidth="1"/>
    <col min="6" max="6" width="11.7109375" style="165" customWidth="1"/>
    <col min="7" max="8" width="11.7109375" style="131" customWidth="1"/>
    <col min="9" max="9" width="11.7109375" style="165" customWidth="1"/>
    <col min="10" max="11" width="11.7109375" style="131" customWidth="1"/>
    <col min="12" max="12" width="11.7109375" style="165" customWidth="1"/>
    <col min="13" max="256" width="9" style="131"/>
    <col min="257" max="259" width="9" style="131" customWidth="1"/>
    <col min="260" max="268" width="11.7109375" style="131" customWidth="1"/>
    <col min="269" max="512" width="9" style="131"/>
    <col min="513" max="515" width="9" style="131" customWidth="1"/>
    <col min="516" max="524" width="11.7109375" style="131" customWidth="1"/>
    <col min="525" max="768" width="9" style="131"/>
    <col min="769" max="771" width="9" style="131" customWidth="1"/>
    <col min="772" max="780" width="11.7109375" style="131" customWidth="1"/>
    <col min="781" max="1024" width="9" style="131"/>
    <col min="1025" max="1027" width="9" style="131" customWidth="1"/>
    <col min="1028" max="1036" width="11.7109375" style="131" customWidth="1"/>
    <col min="1037" max="1280" width="9" style="131"/>
    <col min="1281" max="1283" width="9" style="131" customWidth="1"/>
    <col min="1284" max="1292" width="11.7109375" style="131" customWidth="1"/>
    <col min="1293" max="1536" width="9" style="131"/>
    <col min="1537" max="1539" width="9" style="131" customWidth="1"/>
    <col min="1540" max="1548" width="11.7109375" style="131" customWidth="1"/>
    <col min="1549" max="1792" width="9" style="131"/>
    <col min="1793" max="1795" width="9" style="131" customWidth="1"/>
    <col min="1796" max="1804" width="11.7109375" style="131" customWidth="1"/>
    <col min="1805" max="2048" width="9" style="131"/>
    <col min="2049" max="2051" width="9" style="131" customWidth="1"/>
    <col min="2052" max="2060" width="11.7109375" style="131" customWidth="1"/>
    <col min="2061" max="2304" width="9" style="131"/>
    <col min="2305" max="2307" width="9" style="131" customWidth="1"/>
    <col min="2308" max="2316" width="11.7109375" style="131" customWidth="1"/>
    <col min="2317" max="2560" width="9" style="131"/>
    <col min="2561" max="2563" width="9" style="131" customWidth="1"/>
    <col min="2564" max="2572" width="11.7109375" style="131" customWidth="1"/>
    <col min="2573" max="2816" width="9" style="131"/>
    <col min="2817" max="2819" width="9" style="131" customWidth="1"/>
    <col min="2820" max="2828" width="11.7109375" style="131" customWidth="1"/>
    <col min="2829" max="3072" width="9" style="131"/>
    <col min="3073" max="3075" width="9" style="131" customWidth="1"/>
    <col min="3076" max="3084" width="11.7109375" style="131" customWidth="1"/>
    <col min="3085" max="3328" width="9" style="131"/>
    <col min="3329" max="3331" width="9" style="131" customWidth="1"/>
    <col min="3332" max="3340" width="11.7109375" style="131" customWidth="1"/>
    <col min="3341" max="3584" width="9" style="131"/>
    <col min="3585" max="3587" width="9" style="131" customWidth="1"/>
    <col min="3588" max="3596" width="11.7109375" style="131" customWidth="1"/>
    <col min="3597" max="3840" width="9" style="131"/>
    <col min="3841" max="3843" width="9" style="131" customWidth="1"/>
    <col min="3844" max="3852" width="11.7109375" style="131" customWidth="1"/>
    <col min="3853" max="4096" width="9" style="131"/>
    <col min="4097" max="4099" width="9" style="131" customWidth="1"/>
    <col min="4100" max="4108" width="11.7109375" style="131" customWidth="1"/>
    <col min="4109" max="4352" width="9" style="131"/>
    <col min="4353" max="4355" width="9" style="131" customWidth="1"/>
    <col min="4356" max="4364" width="11.7109375" style="131" customWidth="1"/>
    <col min="4365" max="4608" width="9" style="131"/>
    <col min="4609" max="4611" width="9" style="131" customWidth="1"/>
    <col min="4612" max="4620" width="11.7109375" style="131" customWidth="1"/>
    <col min="4621" max="4864" width="9" style="131"/>
    <col min="4865" max="4867" width="9" style="131" customWidth="1"/>
    <col min="4868" max="4876" width="11.7109375" style="131" customWidth="1"/>
    <col min="4877" max="5120" width="9" style="131"/>
    <col min="5121" max="5123" width="9" style="131" customWidth="1"/>
    <col min="5124" max="5132" width="11.7109375" style="131" customWidth="1"/>
    <col min="5133" max="5376" width="9" style="131"/>
    <col min="5377" max="5379" width="9" style="131" customWidth="1"/>
    <col min="5380" max="5388" width="11.7109375" style="131" customWidth="1"/>
    <col min="5389" max="5632" width="9" style="131"/>
    <col min="5633" max="5635" width="9" style="131" customWidth="1"/>
    <col min="5636" max="5644" width="11.7109375" style="131" customWidth="1"/>
    <col min="5645" max="5888" width="9" style="131"/>
    <col min="5889" max="5891" width="9" style="131" customWidth="1"/>
    <col min="5892" max="5900" width="11.7109375" style="131" customWidth="1"/>
    <col min="5901" max="6144" width="9" style="131"/>
    <col min="6145" max="6147" width="9" style="131" customWidth="1"/>
    <col min="6148" max="6156" width="11.7109375" style="131" customWidth="1"/>
    <col min="6157" max="6400" width="9" style="131"/>
    <col min="6401" max="6403" width="9" style="131" customWidth="1"/>
    <col min="6404" max="6412" width="11.7109375" style="131" customWidth="1"/>
    <col min="6413" max="6656" width="9" style="131"/>
    <col min="6657" max="6659" width="9" style="131" customWidth="1"/>
    <col min="6660" max="6668" width="11.7109375" style="131" customWidth="1"/>
    <col min="6669" max="6912" width="9" style="131"/>
    <col min="6913" max="6915" width="9" style="131" customWidth="1"/>
    <col min="6916" max="6924" width="11.7109375" style="131" customWidth="1"/>
    <col min="6925" max="7168" width="9" style="131"/>
    <col min="7169" max="7171" width="9" style="131" customWidth="1"/>
    <col min="7172" max="7180" width="11.7109375" style="131" customWidth="1"/>
    <col min="7181" max="7424" width="9" style="131"/>
    <col min="7425" max="7427" width="9" style="131" customWidth="1"/>
    <col min="7428" max="7436" width="11.7109375" style="131" customWidth="1"/>
    <col min="7437" max="7680" width="9" style="131"/>
    <col min="7681" max="7683" width="9" style="131" customWidth="1"/>
    <col min="7684" max="7692" width="11.7109375" style="131" customWidth="1"/>
    <col min="7693" max="7936" width="9" style="131"/>
    <col min="7937" max="7939" width="9" style="131" customWidth="1"/>
    <col min="7940" max="7948" width="11.7109375" style="131" customWidth="1"/>
    <col min="7949" max="8192" width="9" style="131"/>
    <col min="8193" max="8195" width="9" style="131" customWidth="1"/>
    <col min="8196" max="8204" width="11.7109375" style="131" customWidth="1"/>
    <col min="8205" max="8448" width="9" style="131"/>
    <col min="8449" max="8451" width="9" style="131" customWidth="1"/>
    <col min="8452" max="8460" width="11.7109375" style="131" customWidth="1"/>
    <col min="8461" max="8704" width="9" style="131"/>
    <col min="8705" max="8707" width="9" style="131" customWidth="1"/>
    <col min="8708" max="8716" width="11.7109375" style="131" customWidth="1"/>
    <col min="8717" max="8960" width="9" style="131"/>
    <col min="8961" max="8963" width="9" style="131" customWidth="1"/>
    <col min="8964" max="8972" width="11.7109375" style="131" customWidth="1"/>
    <col min="8973" max="9216" width="9" style="131"/>
    <col min="9217" max="9219" width="9" style="131" customWidth="1"/>
    <col min="9220" max="9228" width="11.7109375" style="131" customWidth="1"/>
    <col min="9229" max="9472" width="9" style="131"/>
    <col min="9473" max="9475" width="9" style="131" customWidth="1"/>
    <col min="9476" max="9484" width="11.7109375" style="131" customWidth="1"/>
    <col min="9485" max="9728" width="9" style="131"/>
    <col min="9729" max="9731" width="9" style="131" customWidth="1"/>
    <col min="9732" max="9740" width="11.7109375" style="131" customWidth="1"/>
    <col min="9741" max="9984" width="9" style="131"/>
    <col min="9985" max="9987" width="9" style="131" customWidth="1"/>
    <col min="9988" max="9996" width="11.7109375" style="131" customWidth="1"/>
    <col min="9997" max="10240" width="9" style="131"/>
    <col min="10241" max="10243" width="9" style="131" customWidth="1"/>
    <col min="10244" max="10252" width="11.7109375" style="131" customWidth="1"/>
    <col min="10253" max="10496" width="9" style="131"/>
    <col min="10497" max="10499" width="9" style="131" customWidth="1"/>
    <col min="10500" max="10508" width="11.7109375" style="131" customWidth="1"/>
    <col min="10509" max="10752" width="9" style="131"/>
    <col min="10753" max="10755" width="9" style="131" customWidth="1"/>
    <col min="10756" max="10764" width="11.7109375" style="131" customWidth="1"/>
    <col min="10765" max="11008" width="9" style="131"/>
    <col min="11009" max="11011" width="9" style="131" customWidth="1"/>
    <col min="11012" max="11020" width="11.7109375" style="131" customWidth="1"/>
    <col min="11021" max="11264" width="9" style="131"/>
    <col min="11265" max="11267" width="9" style="131" customWidth="1"/>
    <col min="11268" max="11276" width="11.7109375" style="131" customWidth="1"/>
    <col min="11277" max="11520" width="9" style="131"/>
    <col min="11521" max="11523" width="9" style="131" customWidth="1"/>
    <col min="11524" max="11532" width="11.7109375" style="131" customWidth="1"/>
    <col min="11533" max="11776" width="9" style="131"/>
    <col min="11777" max="11779" width="9" style="131" customWidth="1"/>
    <col min="11780" max="11788" width="11.7109375" style="131" customWidth="1"/>
    <col min="11789" max="12032" width="9" style="131"/>
    <col min="12033" max="12035" width="9" style="131" customWidth="1"/>
    <col min="12036" max="12044" width="11.7109375" style="131" customWidth="1"/>
    <col min="12045" max="12288" width="9" style="131"/>
    <col min="12289" max="12291" width="9" style="131" customWidth="1"/>
    <col min="12292" max="12300" width="11.7109375" style="131" customWidth="1"/>
    <col min="12301" max="12544" width="9" style="131"/>
    <col min="12545" max="12547" width="9" style="131" customWidth="1"/>
    <col min="12548" max="12556" width="11.7109375" style="131" customWidth="1"/>
    <col min="12557" max="12800" width="9" style="131"/>
    <col min="12801" max="12803" width="9" style="131" customWidth="1"/>
    <col min="12804" max="12812" width="11.7109375" style="131" customWidth="1"/>
    <col min="12813" max="13056" width="9" style="131"/>
    <col min="13057" max="13059" width="9" style="131" customWidth="1"/>
    <col min="13060" max="13068" width="11.7109375" style="131" customWidth="1"/>
    <col min="13069" max="13312" width="9" style="131"/>
    <col min="13313" max="13315" width="9" style="131" customWidth="1"/>
    <col min="13316" max="13324" width="11.7109375" style="131" customWidth="1"/>
    <col min="13325" max="13568" width="9" style="131"/>
    <col min="13569" max="13571" width="9" style="131" customWidth="1"/>
    <col min="13572" max="13580" width="11.7109375" style="131" customWidth="1"/>
    <col min="13581" max="13824" width="9" style="131"/>
    <col min="13825" max="13827" width="9" style="131" customWidth="1"/>
    <col min="13828" max="13836" width="11.7109375" style="131" customWidth="1"/>
    <col min="13837" max="14080" width="9" style="131"/>
    <col min="14081" max="14083" width="9" style="131" customWidth="1"/>
    <col min="14084" max="14092" width="11.7109375" style="131" customWidth="1"/>
    <col min="14093" max="14336" width="9" style="131"/>
    <col min="14337" max="14339" width="9" style="131" customWidth="1"/>
    <col min="14340" max="14348" width="11.7109375" style="131" customWidth="1"/>
    <col min="14349" max="14592" width="9" style="131"/>
    <col min="14593" max="14595" width="9" style="131" customWidth="1"/>
    <col min="14596" max="14604" width="11.7109375" style="131" customWidth="1"/>
    <col min="14605" max="14848" width="9" style="131"/>
    <col min="14849" max="14851" width="9" style="131" customWidth="1"/>
    <col min="14852" max="14860" width="11.7109375" style="131" customWidth="1"/>
    <col min="14861" max="15104" width="9" style="131"/>
    <col min="15105" max="15107" width="9" style="131" customWidth="1"/>
    <col min="15108" max="15116" width="11.7109375" style="131" customWidth="1"/>
    <col min="15117" max="15360" width="9" style="131"/>
    <col min="15361" max="15363" width="9" style="131" customWidth="1"/>
    <col min="15364" max="15372" width="11.7109375" style="131" customWidth="1"/>
    <col min="15373" max="15616" width="9" style="131"/>
    <col min="15617" max="15619" width="9" style="131" customWidth="1"/>
    <col min="15620" max="15628" width="11.7109375" style="131" customWidth="1"/>
    <col min="15629" max="15872" width="9" style="131"/>
    <col min="15873" max="15875" width="9" style="131" customWidth="1"/>
    <col min="15876" max="15884" width="11.7109375" style="131" customWidth="1"/>
    <col min="15885" max="16128" width="9" style="131"/>
    <col min="16129" max="16131" width="9" style="131" customWidth="1"/>
    <col min="16132" max="16140" width="11.7109375" style="131" customWidth="1"/>
    <col min="16141" max="16384" width="9" style="131"/>
  </cols>
  <sheetData>
    <row r="1" spans="1:12" ht="13.5" customHeight="1" thickBot="1" x14ac:dyDescent="0.25">
      <c r="A1" s="465" t="s">
        <v>128</v>
      </c>
      <c r="B1" s="466"/>
      <c r="C1" s="467"/>
      <c r="D1" s="474" t="s">
        <v>129</v>
      </c>
      <c r="E1" s="475"/>
      <c r="F1" s="476"/>
      <c r="G1" s="475" t="s">
        <v>130</v>
      </c>
      <c r="H1" s="475"/>
      <c r="I1" s="476"/>
      <c r="J1" s="475" t="s">
        <v>131</v>
      </c>
      <c r="K1" s="475"/>
      <c r="L1" s="476"/>
    </row>
    <row r="2" spans="1:12" ht="13.5" customHeight="1" x14ac:dyDescent="0.2">
      <c r="A2" s="468"/>
      <c r="B2" s="469"/>
      <c r="C2" s="470"/>
      <c r="D2" s="471" t="s">
        <v>132</v>
      </c>
      <c r="E2" s="472"/>
      <c r="F2" s="473"/>
      <c r="G2" s="477" t="s">
        <v>133</v>
      </c>
      <c r="H2" s="478"/>
      <c r="I2" s="479"/>
      <c r="J2" s="477" t="s">
        <v>133</v>
      </c>
      <c r="K2" s="478"/>
      <c r="L2" s="479"/>
    </row>
    <row r="3" spans="1:12" ht="13.5" customHeight="1" x14ac:dyDescent="0.2">
      <c r="A3" s="471"/>
      <c r="B3" s="472"/>
      <c r="C3" s="473"/>
      <c r="D3" s="132">
        <v>2014</v>
      </c>
      <c r="E3" s="133">
        <v>2015</v>
      </c>
      <c r="F3" s="134" t="s">
        <v>134</v>
      </c>
      <c r="G3" s="132">
        <v>2014</v>
      </c>
      <c r="H3" s="133">
        <v>2015</v>
      </c>
      <c r="I3" s="135" t="s">
        <v>134</v>
      </c>
      <c r="J3" s="132">
        <v>2014</v>
      </c>
      <c r="K3" s="133">
        <v>2015</v>
      </c>
      <c r="L3" s="135" t="s">
        <v>134</v>
      </c>
    </row>
    <row r="4" spans="1:12" ht="13.5" customHeight="1" x14ac:dyDescent="0.2">
      <c r="A4" s="480" t="s">
        <v>135</v>
      </c>
      <c r="B4" s="481"/>
      <c r="C4" s="481"/>
      <c r="D4" s="136">
        <f>'1 (szegedi)'!D4+'1 (visegrádi)'!D4</f>
        <v>2488</v>
      </c>
      <c r="E4" s="137">
        <f>'1 (szegedi)'!E4+'1 (visegrádi)'!E4</f>
        <v>2302</v>
      </c>
      <c r="F4" s="138">
        <f t="shared" ref="F4:F28" si="0">E4/D4</f>
        <v>0.92524115755627012</v>
      </c>
      <c r="G4" s="136">
        <f>'1 (szegedi)'!G4+'1 (visegrádi)'!G4</f>
        <v>6780</v>
      </c>
      <c r="H4" s="137">
        <f>'1 (szegedi)'!H4+'1 (visegrádi)'!H4</f>
        <v>6213</v>
      </c>
      <c r="I4" s="138">
        <f t="shared" ref="I4:I28" si="1">H4/G4</f>
        <v>0.91637168141592917</v>
      </c>
      <c r="J4" s="136">
        <f>'1 (szegedi)'!J4+'1 (visegrádi)'!J4</f>
        <v>2592966</v>
      </c>
      <c r="K4" s="137">
        <f>'1 (szegedi)'!K4+'1 (visegrádi)'!K4</f>
        <v>2387194</v>
      </c>
      <c r="L4" s="138">
        <f t="shared" ref="L4:L28" si="2">K4/J4</f>
        <v>0.92064222978627563</v>
      </c>
    </row>
    <row r="5" spans="1:12" ht="13.5" customHeight="1" x14ac:dyDescent="0.2">
      <c r="A5" s="480" t="s">
        <v>136</v>
      </c>
      <c r="B5" s="481"/>
      <c r="C5" s="481"/>
      <c r="D5" s="136">
        <f>'1 (szegedi)'!D5+'1 (visegrádi)'!D5</f>
        <v>3484</v>
      </c>
      <c r="E5" s="137">
        <f>'1 (szegedi)'!E5+'1 (visegrádi)'!E5</f>
        <v>3544</v>
      </c>
      <c r="F5" s="138">
        <f t="shared" si="0"/>
        <v>1.0172215843857635</v>
      </c>
      <c r="G5" s="136">
        <f>'1 (szegedi)'!G5+'1 (visegrádi)'!G5</f>
        <v>10752</v>
      </c>
      <c r="H5" s="137">
        <f>'1 (szegedi)'!H5+'1 (visegrádi)'!H5</f>
        <v>9759</v>
      </c>
      <c r="I5" s="138">
        <f t="shared" si="1"/>
        <v>0.9076450892857143</v>
      </c>
      <c r="J5" s="136">
        <f>'1 (szegedi)'!J5+'1 (visegrádi)'!J5</f>
        <v>1805231</v>
      </c>
      <c r="K5" s="137">
        <f>'1 (szegedi)'!K5+'1 (visegrádi)'!K5</f>
        <v>1614474</v>
      </c>
      <c r="L5" s="138">
        <f t="shared" si="2"/>
        <v>0.89433097481707324</v>
      </c>
    </row>
    <row r="6" spans="1:12" ht="13.5" customHeight="1" x14ac:dyDescent="0.2">
      <c r="A6" s="480" t="s">
        <v>137</v>
      </c>
      <c r="B6" s="481"/>
      <c r="C6" s="481"/>
      <c r="D6" s="136">
        <f>'1 (szegedi)'!D6+'1 (visegrádi)'!D6</f>
        <v>2810</v>
      </c>
      <c r="E6" s="137">
        <f>'1 (szegedi)'!E6+'1 (visegrádi)'!E6</f>
        <v>2830</v>
      </c>
      <c r="F6" s="138">
        <f t="shared" si="0"/>
        <v>1.0071174377224199</v>
      </c>
      <c r="G6" s="136">
        <f>'1 (szegedi)'!G6+'1 (visegrádi)'!G6</f>
        <v>5398</v>
      </c>
      <c r="H6" s="137">
        <f>'1 (szegedi)'!H6+'1 (visegrádi)'!H6</f>
        <v>5391</v>
      </c>
      <c r="I6" s="138">
        <f t="shared" si="1"/>
        <v>0.99870322341607998</v>
      </c>
      <c r="J6" s="136">
        <f>'1 (szegedi)'!J6+'1 (visegrádi)'!J6</f>
        <v>5824525</v>
      </c>
      <c r="K6" s="137">
        <f>'1 (szegedi)'!K6+'1 (visegrádi)'!K6</f>
        <v>5959166</v>
      </c>
      <c r="L6" s="138">
        <f t="shared" si="2"/>
        <v>1.0231162197775785</v>
      </c>
    </row>
    <row r="7" spans="1:12" ht="13.5" customHeight="1" x14ac:dyDescent="0.2">
      <c r="A7" s="463" t="s">
        <v>138</v>
      </c>
      <c r="B7" s="464"/>
      <c r="C7" s="464"/>
      <c r="D7" s="136">
        <f>'1 (szegedi)'!D7+'1 (visegrádi)'!D7</f>
        <v>12268</v>
      </c>
      <c r="E7" s="137">
        <f>'1 (szegedi)'!E7+'1 (visegrádi)'!E7</f>
        <v>11871</v>
      </c>
      <c r="F7" s="138">
        <f t="shared" si="0"/>
        <v>0.96763938702314967</v>
      </c>
      <c r="G7" s="136">
        <f>'1 (szegedi)'!G7+'1 (visegrádi)'!G7</f>
        <v>30343</v>
      </c>
      <c r="H7" s="137">
        <f>'1 (szegedi)'!H7+'1 (visegrádi)'!H7</f>
        <v>29849</v>
      </c>
      <c r="I7" s="138">
        <f t="shared" si="1"/>
        <v>0.9837194740137758</v>
      </c>
      <c r="J7" s="136">
        <f>'1 (szegedi)'!J7+'1 (visegrádi)'!J7</f>
        <v>23934422</v>
      </c>
      <c r="K7" s="137">
        <f>'1 (szegedi)'!K7+'1 (visegrádi)'!K7</f>
        <v>23822426</v>
      </c>
      <c r="L7" s="138">
        <f t="shared" si="2"/>
        <v>0.99532071424160562</v>
      </c>
    </row>
    <row r="8" spans="1:12" ht="13.5" customHeight="1" x14ac:dyDescent="0.2">
      <c r="A8" s="463" t="s">
        <v>139</v>
      </c>
      <c r="B8" s="464"/>
      <c r="C8" s="464"/>
      <c r="D8" s="136">
        <f>'1 (szegedi)'!D8+'1 (visegrádi)'!D8</f>
        <v>23661</v>
      </c>
      <c r="E8" s="137">
        <f>'1 (szegedi)'!E8+'1 (visegrádi)'!E8</f>
        <v>23786</v>
      </c>
      <c r="F8" s="138">
        <f t="shared" si="0"/>
        <v>1.0052829550737501</v>
      </c>
      <c r="G8" s="136">
        <f>'1 (szegedi)'!G8+'1 (visegrádi)'!G8</f>
        <v>117004</v>
      </c>
      <c r="H8" s="137">
        <f>'1 (szegedi)'!H8+'1 (visegrádi)'!H8</f>
        <v>114916</v>
      </c>
      <c r="I8" s="138">
        <f t="shared" si="1"/>
        <v>0.98215445625790576</v>
      </c>
      <c r="J8" s="136">
        <f>'1 (szegedi)'!J8+'1 (visegrádi)'!J8</f>
        <v>38579104</v>
      </c>
      <c r="K8" s="137">
        <f>'1 (szegedi)'!K8+'1 (visegrádi)'!K8</f>
        <v>37941280</v>
      </c>
      <c r="L8" s="138">
        <f t="shared" si="2"/>
        <v>0.9834671121444396</v>
      </c>
    </row>
    <row r="9" spans="1:12" ht="13.5" customHeight="1" x14ac:dyDescent="0.2">
      <c r="A9" s="463" t="s">
        <v>140</v>
      </c>
      <c r="B9" s="464"/>
      <c r="C9" s="464"/>
      <c r="D9" s="136">
        <f>'1 (szegedi)'!D9+'1 (visegrádi)'!D9</f>
        <v>13641</v>
      </c>
      <c r="E9" s="137">
        <f>'1 (szegedi)'!E9+'1 (visegrádi)'!E9</f>
        <v>12819</v>
      </c>
      <c r="F9" s="138">
        <f t="shared" si="0"/>
        <v>0.93974048823400047</v>
      </c>
      <c r="G9" s="136">
        <f>'1 (szegedi)'!G9+'1 (visegrádi)'!G9</f>
        <v>60173</v>
      </c>
      <c r="H9" s="137">
        <f>'1 (szegedi)'!H9+'1 (visegrádi)'!H9</f>
        <v>55754</v>
      </c>
      <c r="I9" s="138">
        <f t="shared" si="1"/>
        <v>0.92656174696292359</v>
      </c>
      <c r="J9" s="136">
        <f>'1 (szegedi)'!J9+'1 (visegrádi)'!J9</f>
        <v>19997428</v>
      </c>
      <c r="K9" s="137">
        <f>'1 (szegedi)'!K9+'1 (visegrádi)'!K9</f>
        <v>18519499</v>
      </c>
      <c r="L9" s="138">
        <f t="shared" si="2"/>
        <v>0.92609404569427634</v>
      </c>
    </row>
    <row r="10" spans="1:12" ht="13.5" customHeight="1" x14ac:dyDescent="0.2">
      <c r="A10" s="463" t="s">
        <v>141</v>
      </c>
      <c r="B10" s="464"/>
      <c r="C10" s="464"/>
      <c r="D10" s="136">
        <f>'1 (szegedi)'!D10+'1 (visegrádi)'!D10</f>
        <v>2438</v>
      </c>
      <c r="E10" s="137">
        <f>'1 (szegedi)'!E10+'1 (visegrádi)'!E10</f>
        <v>2490</v>
      </c>
      <c r="F10" s="138">
        <f t="shared" si="0"/>
        <v>1.0213289581624283</v>
      </c>
      <c r="G10" s="136">
        <f>'1 (szegedi)'!G10+'1 (visegrádi)'!G10</f>
        <v>11269</v>
      </c>
      <c r="H10" s="137">
        <f>'1 (szegedi)'!H10+'1 (visegrádi)'!H10</f>
        <v>11710</v>
      </c>
      <c r="I10" s="138">
        <f t="shared" si="1"/>
        <v>1.0391339071789867</v>
      </c>
      <c r="J10" s="136">
        <f>'1 (szegedi)'!J10+'1 (visegrádi)'!J10</f>
        <v>3469260</v>
      </c>
      <c r="K10" s="137">
        <f>'1 (szegedi)'!K10+'1 (visegrádi)'!K10</f>
        <v>3570932</v>
      </c>
      <c r="L10" s="138">
        <f t="shared" si="2"/>
        <v>1.0293065379936932</v>
      </c>
    </row>
    <row r="11" spans="1:12" ht="13.5" customHeight="1" x14ac:dyDescent="0.2">
      <c r="A11" s="463" t="s">
        <v>142</v>
      </c>
      <c r="B11" s="464"/>
      <c r="C11" s="464"/>
      <c r="D11" s="136">
        <f>'1 (szegedi)'!D11+'1 (visegrádi)'!D11</f>
        <v>997</v>
      </c>
      <c r="E11" s="137">
        <f>'1 (szegedi)'!E11+'1 (visegrádi)'!E11</f>
        <v>1106</v>
      </c>
      <c r="F11" s="138">
        <f t="shared" si="0"/>
        <v>1.1093279839518555</v>
      </c>
      <c r="G11" s="136">
        <f>'1 (szegedi)'!G11+'1 (visegrádi)'!G11</f>
        <v>1985</v>
      </c>
      <c r="H11" s="137">
        <f>'1 (szegedi)'!H11+'1 (visegrádi)'!H11</f>
        <v>2192</v>
      </c>
      <c r="I11" s="138">
        <f t="shared" si="1"/>
        <v>1.1042821158690177</v>
      </c>
      <c r="J11" s="136">
        <f>'1 (szegedi)'!J11+'1 (visegrádi)'!J11</f>
        <v>1319274</v>
      </c>
      <c r="K11" s="137">
        <f>'1 (szegedi)'!K11+'1 (visegrádi)'!K11</f>
        <v>1457736</v>
      </c>
      <c r="L11" s="138">
        <f t="shared" si="2"/>
        <v>1.1049531787937912</v>
      </c>
    </row>
    <row r="12" spans="1:12" ht="13.5" customHeight="1" x14ac:dyDescent="0.2">
      <c r="A12" s="463" t="s">
        <v>143</v>
      </c>
      <c r="B12" s="464"/>
      <c r="C12" s="464"/>
      <c r="D12" s="136">
        <f>'1 (szegedi)'!D12+'1 (visegrádi)'!D12</f>
        <v>22308</v>
      </c>
      <c r="E12" s="137">
        <f>'1 (szegedi)'!E12+'1 (visegrádi)'!E12</f>
        <v>23250</v>
      </c>
      <c r="F12" s="138">
        <f t="shared" si="0"/>
        <v>1.0422270037654653</v>
      </c>
      <c r="G12" s="136">
        <f>'1 (szegedi)'!G12+'1 (visegrádi)'!G12</f>
        <v>84883</v>
      </c>
      <c r="H12" s="137">
        <f>'1 (szegedi)'!H12+'1 (visegrádi)'!H12</f>
        <v>84834</v>
      </c>
      <c r="I12" s="138">
        <f t="shared" si="1"/>
        <v>0.9994227348232273</v>
      </c>
      <c r="J12" s="136">
        <f>'1 (szegedi)'!J12+'1 (visegrádi)'!J12</f>
        <v>30178931</v>
      </c>
      <c r="K12" s="137">
        <f>'1 (szegedi)'!K12+'1 (visegrádi)'!K12</f>
        <v>28849687</v>
      </c>
      <c r="L12" s="138">
        <f t="shared" si="2"/>
        <v>0.95595456976259363</v>
      </c>
    </row>
    <row r="13" spans="1:12" ht="13.5" customHeight="1" x14ac:dyDescent="0.2">
      <c r="A13" s="463" t="s">
        <v>144</v>
      </c>
      <c r="B13" s="464"/>
      <c r="C13" s="464"/>
      <c r="D13" s="136">
        <f>'1 (szegedi)'!D13+'1 (visegrádi)'!D13</f>
        <v>22108</v>
      </c>
      <c r="E13" s="137">
        <f>'1 (szegedi)'!E13+'1 (visegrádi)'!E13</f>
        <v>22319</v>
      </c>
      <c r="F13" s="138">
        <f t="shared" si="0"/>
        <v>1.0095440564501539</v>
      </c>
      <c r="G13" s="136">
        <f>'1 (szegedi)'!G13+'1 (visegrádi)'!G13</f>
        <v>81168</v>
      </c>
      <c r="H13" s="137">
        <f>'1 (szegedi)'!H13+'1 (visegrádi)'!H13</f>
        <v>86619</v>
      </c>
      <c r="I13" s="138">
        <f t="shared" si="1"/>
        <v>1.0671570076877588</v>
      </c>
      <c r="J13" s="136">
        <f>'1 (szegedi)'!J13+'1 (visegrádi)'!J13</f>
        <v>20722891</v>
      </c>
      <c r="K13" s="137">
        <f>'1 (szegedi)'!K13+'1 (visegrádi)'!K13</f>
        <v>21758909</v>
      </c>
      <c r="L13" s="138">
        <f t="shared" si="2"/>
        <v>1.0499938932265773</v>
      </c>
    </row>
    <row r="14" spans="1:12" ht="13.5" customHeight="1" x14ac:dyDescent="0.2">
      <c r="A14" s="463" t="s">
        <v>145</v>
      </c>
      <c r="B14" s="464"/>
      <c r="C14" s="464"/>
      <c r="D14" s="136">
        <f>'1 (szegedi)'!D14+'1 (visegrádi)'!D14</f>
        <v>1607</v>
      </c>
      <c r="E14" s="137">
        <f>'1 (szegedi)'!E14+'1 (visegrádi)'!E14</f>
        <v>1697</v>
      </c>
      <c r="F14" s="138">
        <f t="shared" si="0"/>
        <v>1.0560049782202863</v>
      </c>
      <c r="G14" s="136">
        <f>'1 (szegedi)'!G14+'1 (visegrádi)'!G14</f>
        <v>11541</v>
      </c>
      <c r="H14" s="137">
        <f>'1 (szegedi)'!H14+'1 (visegrádi)'!H14</f>
        <v>11581</v>
      </c>
      <c r="I14" s="138">
        <f t="shared" si="1"/>
        <v>1.0034659041677498</v>
      </c>
      <c r="J14" s="136">
        <f>'1 (szegedi)'!J14+'1 (visegrádi)'!J14</f>
        <v>2493872</v>
      </c>
      <c r="K14" s="137">
        <f>'1 (szegedi)'!K14+'1 (visegrádi)'!K14</f>
        <v>2592616</v>
      </c>
      <c r="L14" s="138">
        <f t="shared" si="2"/>
        <v>1.0395946544169068</v>
      </c>
    </row>
    <row r="15" spans="1:12" ht="13.5" customHeight="1" x14ac:dyDescent="0.2">
      <c r="A15" s="463" t="s">
        <v>146</v>
      </c>
      <c r="B15" s="464"/>
      <c r="C15" s="464"/>
      <c r="D15" s="136">
        <f>'1 (szegedi)'!D15+'1 (visegrádi)'!D15</f>
        <v>24857</v>
      </c>
      <c r="E15" s="137">
        <f>'1 (szegedi)'!E15+'1 (visegrádi)'!E15</f>
        <v>25047</v>
      </c>
      <c r="F15" s="138">
        <f t="shared" si="0"/>
        <v>1.0076437220903569</v>
      </c>
      <c r="G15" s="136">
        <f>'1 (szegedi)'!G15+'1 (visegrádi)'!G15</f>
        <v>239185</v>
      </c>
      <c r="H15" s="137">
        <f>'1 (szegedi)'!H15+'1 (visegrádi)'!H15</f>
        <v>248818</v>
      </c>
      <c r="I15" s="138">
        <f t="shared" si="1"/>
        <v>1.0402742646905114</v>
      </c>
      <c r="J15" s="136">
        <f>'1 (szegedi)'!J15+'1 (visegrádi)'!J15</f>
        <v>40971733</v>
      </c>
      <c r="K15" s="137">
        <f>'1 (szegedi)'!K15+'1 (visegrádi)'!K15</f>
        <v>42182624</v>
      </c>
      <c r="L15" s="138">
        <f t="shared" si="2"/>
        <v>1.0295543027189014</v>
      </c>
    </row>
    <row r="16" spans="1:12" ht="13.5" customHeight="1" x14ac:dyDescent="0.2">
      <c r="A16" s="463" t="s">
        <v>147</v>
      </c>
      <c r="B16" s="464"/>
      <c r="C16" s="464"/>
      <c r="D16" s="136">
        <f>'1 (szegedi)'!D16+'1 (visegrádi)'!D16</f>
        <v>15892</v>
      </c>
      <c r="E16" s="137">
        <f>'1 (szegedi)'!E16+'1 (visegrádi)'!E16</f>
        <v>15515</v>
      </c>
      <c r="F16" s="138">
        <f t="shared" si="0"/>
        <v>0.97627737226277367</v>
      </c>
      <c r="G16" s="136">
        <f>'1 (szegedi)'!G16+'1 (visegrádi)'!G16</f>
        <v>59016</v>
      </c>
      <c r="H16" s="137">
        <f>'1 (szegedi)'!H16+'1 (visegrádi)'!H16</f>
        <v>73844</v>
      </c>
      <c r="I16" s="138">
        <f t="shared" si="1"/>
        <v>1.2512538972482039</v>
      </c>
      <c r="J16" s="136">
        <f>'1 (szegedi)'!J16+'1 (visegrádi)'!J16</f>
        <v>18012438</v>
      </c>
      <c r="K16" s="137">
        <f>'1 (szegedi)'!K16+'1 (visegrádi)'!K16</f>
        <v>19200017</v>
      </c>
      <c r="L16" s="138">
        <f t="shared" si="2"/>
        <v>1.0659310527536583</v>
      </c>
    </row>
    <row r="17" spans="1:12" ht="13.5" customHeight="1" x14ac:dyDescent="0.2">
      <c r="A17" s="463" t="s">
        <v>148</v>
      </c>
      <c r="B17" s="464"/>
      <c r="C17" s="482"/>
      <c r="D17" s="136">
        <f>'1 (szegedi)'!D17+'1 (visegrádi)'!D17</f>
        <v>1537</v>
      </c>
      <c r="E17" s="137">
        <f>'1 (szegedi)'!E17+'1 (visegrádi)'!E17</f>
        <v>1535</v>
      </c>
      <c r="F17" s="138">
        <f t="shared" si="0"/>
        <v>0.99869876382563438</v>
      </c>
      <c r="G17" s="136">
        <f>'1 (szegedi)'!G17+'1 (visegrádi)'!G17</f>
        <v>21645</v>
      </c>
      <c r="H17" s="137">
        <f>'1 (szegedi)'!H17+'1 (visegrádi)'!H17</f>
        <v>20651</v>
      </c>
      <c r="I17" s="138">
        <f t="shared" si="1"/>
        <v>0.9540771540771541</v>
      </c>
      <c r="J17" s="136">
        <f>'1 (szegedi)'!J17+'1 (visegrádi)'!J17</f>
        <v>7114923</v>
      </c>
      <c r="K17" s="137">
        <f>'1 (szegedi)'!K17+'1 (visegrádi)'!K17</f>
        <v>6857179</v>
      </c>
      <c r="L17" s="138">
        <f t="shared" si="2"/>
        <v>0.9637741687436393</v>
      </c>
    </row>
    <row r="18" spans="1:12" ht="13.5" customHeight="1" x14ac:dyDescent="0.2">
      <c r="A18" s="463" t="s">
        <v>149</v>
      </c>
      <c r="B18" s="464"/>
      <c r="C18" s="464"/>
      <c r="D18" s="136">
        <f>'1 (szegedi)'!D18+'1 (visegrádi)'!D18</f>
        <v>16345</v>
      </c>
      <c r="E18" s="137">
        <f>'1 (szegedi)'!E18+'1 (visegrádi)'!E18</f>
        <v>15860</v>
      </c>
      <c r="F18" s="138">
        <f t="shared" si="0"/>
        <v>0.97032731722239218</v>
      </c>
      <c r="G18" s="136">
        <f>'1 (szegedi)'!G18+'1 (visegrádi)'!G18</f>
        <v>80178</v>
      </c>
      <c r="H18" s="137">
        <f>'1 (szegedi)'!H18+'1 (visegrádi)'!H18</f>
        <v>88139</v>
      </c>
      <c r="I18" s="138">
        <f t="shared" si="1"/>
        <v>1.0992915762428597</v>
      </c>
      <c r="J18" s="136">
        <f>'1 (szegedi)'!J18+'1 (visegrádi)'!J18</f>
        <v>16931270</v>
      </c>
      <c r="K18" s="137">
        <f>'1 (szegedi)'!K18+'1 (visegrádi)'!K18</f>
        <v>20603064</v>
      </c>
      <c r="L18" s="138">
        <f t="shared" si="2"/>
        <v>1.2168646533898519</v>
      </c>
    </row>
    <row r="19" spans="1:12" ht="13.5" customHeight="1" x14ac:dyDescent="0.2">
      <c r="A19" s="463" t="s">
        <v>150</v>
      </c>
      <c r="B19" s="464"/>
      <c r="C19" s="464"/>
      <c r="D19" s="136">
        <f>'1 (szegedi)'!D19+'1 (visegrádi)'!D19</f>
        <v>2777</v>
      </c>
      <c r="E19" s="137">
        <f>'1 (szegedi)'!E19+'1 (visegrádi)'!E19</f>
        <v>2979</v>
      </c>
      <c r="F19" s="138">
        <f t="shared" si="0"/>
        <v>1.0727403673028448</v>
      </c>
      <c r="G19" s="136">
        <f>'1 (szegedi)'!G19+'1 (visegrádi)'!G19</f>
        <v>7757</v>
      </c>
      <c r="H19" s="137">
        <f>'1 (szegedi)'!H19+'1 (visegrádi)'!H19</f>
        <v>8198</v>
      </c>
      <c r="I19" s="138">
        <f t="shared" si="1"/>
        <v>1.0568518757251515</v>
      </c>
      <c r="J19" s="136">
        <f>'1 (szegedi)'!J19+'1 (visegrádi)'!J19</f>
        <v>3755780</v>
      </c>
      <c r="K19" s="137">
        <f>'1 (szegedi)'!K19+'1 (visegrádi)'!K19</f>
        <v>4073421</v>
      </c>
      <c r="L19" s="138">
        <f t="shared" si="2"/>
        <v>1.0845739100799301</v>
      </c>
    </row>
    <row r="20" spans="1:12" ht="13.5" customHeight="1" x14ac:dyDescent="0.2">
      <c r="A20" s="463" t="s">
        <v>151</v>
      </c>
      <c r="B20" s="464"/>
      <c r="C20" s="464"/>
      <c r="D20" s="136">
        <f>'1 (szegedi)'!D20+'1 (visegrádi)'!D20</f>
        <v>7627</v>
      </c>
      <c r="E20" s="137">
        <f>'1 (szegedi)'!E20+'1 (visegrádi)'!E20</f>
        <v>7974</v>
      </c>
      <c r="F20" s="138">
        <f t="shared" si="0"/>
        <v>1.0454962632752065</v>
      </c>
      <c r="G20" s="136">
        <f>'1 (szegedi)'!G20+'1 (visegrádi)'!G20</f>
        <v>27400</v>
      </c>
      <c r="H20" s="137">
        <f>'1 (szegedi)'!H20+'1 (visegrádi)'!H20</f>
        <v>28868</v>
      </c>
      <c r="I20" s="138">
        <f t="shared" si="1"/>
        <v>1.0535766423357664</v>
      </c>
      <c r="J20" s="136">
        <f>'1 (szegedi)'!J20+'1 (visegrádi)'!J20</f>
        <v>10384380</v>
      </c>
      <c r="K20" s="137">
        <f>'1 (szegedi)'!K20+'1 (visegrádi)'!K20</f>
        <v>10788649</v>
      </c>
      <c r="L20" s="138">
        <f t="shared" si="2"/>
        <v>1.0389304898318437</v>
      </c>
    </row>
    <row r="21" spans="1:12" ht="13.5" customHeight="1" x14ac:dyDescent="0.2">
      <c r="A21" s="463" t="s">
        <v>152</v>
      </c>
      <c r="B21" s="464"/>
      <c r="C21" s="464"/>
      <c r="D21" s="136">
        <f>'1 (szegedi)'!D21+'1 (visegrádi)'!D21</f>
        <v>22820</v>
      </c>
      <c r="E21" s="137">
        <f>'1 (szegedi)'!E21+'1 (visegrádi)'!E21</f>
        <v>22459</v>
      </c>
      <c r="F21" s="138">
        <f t="shared" si="0"/>
        <v>0.98418054338299732</v>
      </c>
      <c r="G21" s="136">
        <f>'1 (szegedi)'!G21+'1 (visegrádi)'!G21</f>
        <v>89398</v>
      </c>
      <c r="H21" s="137">
        <f>'1 (szegedi)'!H21+'1 (visegrádi)'!H21</f>
        <v>90833</v>
      </c>
      <c r="I21" s="138">
        <f t="shared" si="1"/>
        <v>1.0160518132396699</v>
      </c>
      <c r="J21" s="136">
        <f>'1 (szegedi)'!J21+'1 (visegrádi)'!J21</f>
        <v>30032088</v>
      </c>
      <c r="K21" s="137">
        <f>'1 (szegedi)'!K21+'1 (visegrádi)'!K21</f>
        <v>30260630</v>
      </c>
      <c r="L21" s="138">
        <f t="shared" si="2"/>
        <v>1.0076099270886527</v>
      </c>
    </row>
    <row r="22" spans="1:12" ht="13.5" customHeight="1" x14ac:dyDescent="0.2">
      <c r="A22" s="463" t="s">
        <v>153</v>
      </c>
      <c r="B22" s="464"/>
      <c r="C22" s="464"/>
      <c r="D22" s="136">
        <f>'1 (szegedi)'!D22+'1 (visegrádi)'!D22</f>
        <v>35202</v>
      </c>
      <c r="E22" s="137">
        <f>'1 (szegedi)'!E22+'1 (visegrádi)'!E22</f>
        <v>35974</v>
      </c>
      <c r="F22" s="138">
        <f t="shared" si="0"/>
        <v>1.0219305721265837</v>
      </c>
      <c r="G22" s="136">
        <f>'1 (szegedi)'!G22+'1 (visegrádi)'!G22</f>
        <v>96903</v>
      </c>
      <c r="H22" s="137">
        <f>'1 (szegedi)'!H22+'1 (visegrádi)'!H22</f>
        <v>94954</v>
      </c>
      <c r="I22" s="138">
        <f t="shared" si="1"/>
        <v>0.97988710359844378</v>
      </c>
      <c r="J22" s="136">
        <f>'1 (szegedi)'!J22+'1 (visegrádi)'!J22</f>
        <v>67922908</v>
      </c>
      <c r="K22" s="137">
        <f>'1 (szegedi)'!K22+'1 (visegrádi)'!K22</f>
        <v>66987870</v>
      </c>
      <c r="L22" s="138">
        <f t="shared" si="2"/>
        <v>0.98623383439354506</v>
      </c>
    </row>
    <row r="23" spans="1:12" ht="13.5" customHeight="1" x14ac:dyDescent="0.2">
      <c r="A23" s="463" t="s">
        <v>154</v>
      </c>
      <c r="B23" s="464"/>
      <c r="C23" s="464"/>
      <c r="D23" s="136">
        <f>'1 (szegedi)'!D23+'1 (visegrádi)'!D23</f>
        <v>35727</v>
      </c>
      <c r="E23" s="137">
        <f>'1 (szegedi)'!E23+'1 (visegrádi)'!E23</f>
        <v>34084</v>
      </c>
      <c r="F23" s="138">
        <f t="shared" si="0"/>
        <v>0.95401237159571195</v>
      </c>
      <c r="G23" s="136">
        <f>'1 (szegedi)'!G23+'1 (visegrádi)'!G23</f>
        <v>336144</v>
      </c>
      <c r="H23" s="137">
        <f>'1 (szegedi)'!H23+'1 (visegrádi)'!H23</f>
        <v>330971</v>
      </c>
      <c r="I23" s="138">
        <f t="shared" si="1"/>
        <v>0.9846107620543576</v>
      </c>
      <c r="J23" s="136">
        <f>'1 (szegedi)'!J23+'1 (visegrádi)'!J23</f>
        <v>53237869</v>
      </c>
      <c r="K23" s="137">
        <f>'1 (szegedi)'!K23+'1 (visegrádi)'!K23</f>
        <v>52871671</v>
      </c>
      <c r="L23" s="138">
        <f t="shared" si="2"/>
        <v>0.99312147524161798</v>
      </c>
    </row>
    <row r="24" spans="1:12" ht="13.5" customHeight="1" x14ac:dyDescent="0.2">
      <c r="A24" s="489" t="s">
        <v>155</v>
      </c>
      <c r="B24" s="490"/>
      <c r="C24" s="491"/>
      <c r="D24" s="136">
        <f>'1 (szegedi)'!D24+'1 (visegrádi)'!D24</f>
        <v>4445</v>
      </c>
      <c r="E24" s="137">
        <f>'1 (szegedi)'!E24+'1 (visegrádi)'!E24</f>
        <v>4094</v>
      </c>
      <c r="F24" s="138">
        <f t="shared" si="0"/>
        <v>0.92103487064116984</v>
      </c>
      <c r="G24" s="136">
        <f>'1 (szegedi)'!G24+'1 (visegrádi)'!G24</f>
        <v>7034</v>
      </c>
      <c r="H24" s="137">
        <f>'1 (szegedi)'!H24+'1 (visegrádi)'!H24</f>
        <v>6064</v>
      </c>
      <c r="I24" s="138">
        <f t="shared" si="1"/>
        <v>0.86209837930054023</v>
      </c>
      <c r="J24" s="136">
        <f>'1 (szegedi)'!J24+'1 (visegrádi)'!J24</f>
        <v>10363262</v>
      </c>
      <c r="K24" s="137">
        <f>'1 (szegedi)'!K24+'1 (visegrádi)'!K24</f>
        <v>8156744</v>
      </c>
      <c r="L24" s="138">
        <f t="shared" si="2"/>
        <v>0.78708267724969228</v>
      </c>
    </row>
    <row r="25" spans="1:12" ht="13.5" customHeight="1" x14ac:dyDescent="0.2">
      <c r="A25" s="463" t="s">
        <v>156</v>
      </c>
      <c r="B25" s="464"/>
      <c r="C25" s="464"/>
      <c r="D25" s="136">
        <f>'1 (szegedi)'!D25+'1 (visegrádi)'!D25</f>
        <v>63596</v>
      </c>
      <c r="E25" s="137">
        <f>'1 (szegedi)'!E25+'1 (visegrádi)'!E25</f>
        <v>65137</v>
      </c>
      <c r="F25" s="138">
        <f t="shared" si="0"/>
        <v>1.0242310837159569</v>
      </c>
      <c r="G25" s="136">
        <f>'1 (szegedi)'!G25+'1 (visegrádi)'!G25</f>
        <v>185526</v>
      </c>
      <c r="H25" s="137">
        <f>'1 (szegedi)'!H25+'1 (visegrádi)'!H25</f>
        <v>141992</v>
      </c>
      <c r="I25" s="138">
        <f t="shared" si="1"/>
        <v>0.76534825307504073</v>
      </c>
      <c r="J25" s="136">
        <f>'1 (szegedi)'!J25+'1 (visegrádi)'!J25</f>
        <v>37121336</v>
      </c>
      <c r="K25" s="137">
        <f>'1 (szegedi)'!K25+'1 (visegrádi)'!K25</f>
        <v>30796325</v>
      </c>
      <c r="L25" s="138">
        <f t="shared" si="2"/>
        <v>0.8296125171787998</v>
      </c>
    </row>
    <row r="26" spans="1:12" ht="13.5" customHeight="1" x14ac:dyDescent="0.2">
      <c r="A26" s="463" t="s">
        <v>157</v>
      </c>
      <c r="B26" s="464"/>
      <c r="C26" s="464"/>
      <c r="D26" s="136">
        <f>'1 (szegedi)'!D26+'1 (visegrádi)'!D26</f>
        <v>38186</v>
      </c>
      <c r="E26" s="137">
        <f>'1 (szegedi)'!E26+'1 (visegrádi)'!E26</f>
        <v>39322</v>
      </c>
      <c r="F26" s="138">
        <f t="shared" si="0"/>
        <v>1.0297491227151312</v>
      </c>
      <c r="G26" s="136">
        <f>'1 (szegedi)'!G26+'1 (visegrádi)'!G26</f>
        <v>262979</v>
      </c>
      <c r="H26" s="137">
        <f>'1 (szegedi)'!H26+'1 (visegrádi)'!H26</f>
        <v>273023</v>
      </c>
      <c r="I26" s="138">
        <f t="shared" si="1"/>
        <v>1.038193163712692</v>
      </c>
      <c r="J26" s="136">
        <f>'1 (szegedi)'!J26+'1 (visegrádi)'!J26</f>
        <v>35682474</v>
      </c>
      <c r="K26" s="137">
        <f>'1 (szegedi)'!K26+'1 (visegrádi)'!K26</f>
        <v>37411575</v>
      </c>
      <c r="L26" s="138">
        <f t="shared" si="2"/>
        <v>1.0484579908893088</v>
      </c>
    </row>
    <row r="27" spans="1:12" ht="13.5" customHeight="1" x14ac:dyDescent="0.2">
      <c r="A27" s="463" t="s">
        <v>158</v>
      </c>
      <c r="B27" s="464"/>
      <c r="C27" s="464"/>
      <c r="D27" s="136">
        <f>'1 (szegedi)'!D27+'1 (visegrádi)'!D27</f>
        <v>221</v>
      </c>
      <c r="E27" s="137">
        <f>'1 (szegedi)'!E27+'1 (visegrádi)'!E27</f>
        <v>158</v>
      </c>
      <c r="F27" s="138">
        <f t="shared" si="0"/>
        <v>0.71493212669683259</v>
      </c>
      <c r="G27" s="136">
        <f>'1 (szegedi)'!G27+'1 (visegrádi)'!G27</f>
        <v>1117</v>
      </c>
      <c r="H27" s="137">
        <f>'1 (szegedi)'!H27+'1 (visegrádi)'!H27</f>
        <v>747</v>
      </c>
      <c r="I27" s="138">
        <f t="shared" si="1"/>
        <v>0.66875559534467321</v>
      </c>
      <c r="J27" s="136">
        <f>'1 (szegedi)'!J27+'1 (visegrádi)'!J27</f>
        <v>284525</v>
      </c>
      <c r="K27" s="137">
        <f>'1 (szegedi)'!K27+'1 (visegrádi)'!K27</f>
        <v>195915</v>
      </c>
      <c r="L27" s="138">
        <f t="shared" si="2"/>
        <v>0.68856866707670683</v>
      </c>
    </row>
    <row r="28" spans="1:12" ht="13.5" customHeight="1" x14ac:dyDescent="0.2">
      <c r="A28" s="463" t="s">
        <v>159</v>
      </c>
      <c r="B28" s="464"/>
      <c r="C28" s="464"/>
      <c r="D28" s="136">
        <f>'1 (szegedi)'!D28+'1 (visegrádi)'!D28</f>
        <v>6308</v>
      </c>
      <c r="E28" s="137">
        <f>'1 (szegedi)'!E28+'1 (visegrádi)'!E28</f>
        <v>7080</v>
      </c>
      <c r="F28" s="138">
        <f t="shared" si="0"/>
        <v>1.1223842739378567</v>
      </c>
      <c r="G28" s="136">
        <f>'1 (szegedi)'!G28+'1 (visegrádi)'!G28</f>
        <v>15095</v>
      </c>
      <c r="H28" s="137">
        <f>'1 (szegedi)'!H28+'1 (visegrádi)'!H28</f>
        <v>16850</v>
      </c>
      <c r="I28" s="138">
        <f t="shared" si="1"/>
        <v>1.1162636634647234</v>
      </c>
      <c r="J28" s="136">
        <f>'1 (szegedi)'!J28+'1 (visegrádi)'!J28</f>
        <v>6906730</v>
      </c>
      <c r="K28" s="137">
        <f>'1 (szegedi)'!K28+'1 (visegrádi)'!K28</f>
        <v>7323490</v>
      </c>
      <c r="L28" s="138">
        <f t="shared" si="2"/>
        <v>1.0603411455203837</v>
      </c>
    </row>
    <row r="29" spans="1:12" ht="13.5" customHeight="1" x14ac:dyDescent="0.2">
      <c r="A29" s="139"/>
      <c r="B29" s="140"/>
      <c r="C29" s="140"/>
      <c r="D29" s="141"/>
      <c r="E29" s="142"/>
      <c r="F29" s="143"/>
      <c r="G29" s="144"/>
      <c r="H29" s="142"/>
      <c r="I29" s="143"/>
      <c r="J29" s="144"/>
      <c r="K29" s="142"/>
      <c r="L29" s="143"/>
    </row>
    <row r="30" spans="1:12" ht="13.5" customHeight="1" x14ac:dyDescent="0.2">
      <c r="A30" s="463" t="s">
        <v>160</v>
      </c>
      <c r="B30" s="464"/>
      <c r="C30" s="482"/>
      <c r="D30" s="145">
        <f>SUM(D4:D28)-D27-D28</f>
        <v>376821</v>
      </c>
      <c r="E30" s="137">
        <f>SUM(E4:E28)-E27-E28</f>
        <v>377994</v>
      </c>
      <c r="F30" s="138">
        <f>E30/D30</f>
        <v>1.0031128838360919</v>
      </c>
      <c r="G30" s="145">
        <f>SUM(G4:G28)-G27-G28</f>
        <v>1834461</v>
      </c>
      <c r="H30" s="137">
        <f>SUM(H4:H28)-H27-H28</f>
        <v>1825173</v>
      </c>
      <c r="I30" s="138">
        <f>H30/G30</f>
        <v>0.99493693242865344</v>
      </c>
      <c r="J30" s="145">
        <f>SUM(J4:J28)-J27-J28</f>
        <v>482448365</v>
      </c>
      <c r="K30" s="137">
        <f>SUM(K4:K28)-K27-K28</f>
        <v>478663688</v>
      </c>
      <c r="L30" s="138">
        <f>K30/J30</f>
        <v>0.99215527033654682</v>
      </c>
    </row>
    <row r="31" spans="1:12" ht="13.5" customHeight="1" thickBot="1" x14ac:dyDescent="0.25">
      <c r="A31" s="146"/>
      <c r="B31" s="147"/>
      <c r="C31" s="147"/>
      <c r="D31" s="148"/>
      <c r="E31" s="149"/>
      <c r="F31" s="150"/>
      <c r="G31" s="151"/>
      <c r="H31" s="149"/>
      <c r="I31" s="150"/>
      <c r="J31" s="151"/>
      <c r="K31" s="149"/>
      <c r="L31" s="150"/>
    </row>
    <row r="32" spans="1:12" ht="13.5" customHeight="1" thickBot="1" x14ac:dyDescent="0.25">
      <c r="A32" s="152" t="s">
        <v>161</v>
      </c>
      <c r="B32" s="153"/>
      <c r="C32" s="153"/>
      <c r="D32" s="154">
        <f>'1 (szegedi)'!D32+'1 (visegrádi)'!D32</f>
        <v>73115</v>
      </c>
      <c r="E32" s="155">
        <f>'1 (szegedi)'!E32+'1 (visegrádi)'!E32</f>
        <v>74165</v>
      </c>
      <c r="F32" s="156">
        <f t="shared" ref="F32" si="3">E32/D32</f>
        <v>1.0143609382479655</v>
      </c>
      <c r="G32" s="154">
        <f>'1 (szegedi)'!G32+'1 (visegrádi)'!G32</f>
        <v>1282724</v>
      </c>
      <c r="H32" s="155">
        <f>'1 (szegedi)'!H32+'1 (visegrádi)'!H32</f>
        <v>1353762</v>
      </c>
      <c r="I32" s="156">
        <f t="shared" ref="I32" si="4">H32/G32</f>
        <v>1.0553805807016943</v>
      </c>
      <c r="J32" s="154">
        <f>'1 (szegedi)'!J32+'1 (visegrádi)'!J32</f>
        <v>210935828</v>
      </c>
      <c r="K32" s="155">
        <f>'1 (szegedi)'!K32+'1 (visegrádi)'!K32</f>
        <v>227180761</v>
      </c>
      <c r="L32" s="156">
        <f t="shared" ref="L32" si="5">K32/J32</f>
        <v>1.0770136261536376</v>
      </c>
    </row>
    <row r="33" spans="1:12" ht="13.5" customHeight="1" thickBot="1" x14ac:dyDescent="0.25">
      <c r="A33" s="157" t="s">
        <v>162</v>
      </c>
      <c r="B33" s="158"/>
      <c r="C33" s="158"/>
      <c r="D33" s="154">
        <f>D27+D28</f>
        <v>6529</v>
      </c>
      <c r="E33" s="155">
        <f>E27+E28</f>
        <v>7238</v>
      </c>
      <c r="F33" s="156">
        <f>E33/D33</f>
        <v>1.1085924337570838</v>
      </c>
      <c r="G33" s="154">
        <f>G27+G28</f>
        <v>16212</v>
      </c>
      <c r="H33" s="155">
        <f>H27+H28</f>
        <v>17597</v>
      </c>
      <c r="I33" s="156">
        <f>H33/G33</f>
        <v>1.085430545275105</v>
      </c>
      <c r="J33" s="154">
        <f>J27+J28</f>
        <v>7191255</v>
      </c>
      <c r="K33" s="155">
        <f>K27+K28</f>
        <v>7519405</v>
      </c>
      <c r="L33" s="156">
        <f>K33/J33</f>
        <v>1.045631812527855</v>
      </c>
    </row>
    <row r="34" spans="1:12" ht="13.5" customHeight="1" x14ac:dyDescent="0.2">
      <c r="A34" s="483"/>
      <c r="B34" s="484"/>
      <c r="C34" s="485"/>
      <c r="D34" s="159"/>
      <c r="E34" s="160"/>
      <c r="F34" s="161"/>
      <c r="G34" s="159"/>
      <c r="H34" s="160"/>
      <c r="I34" s="161"/>
      <c r="J34" s="159"/>
      <c r="K34" s="160"/>
      <c r="L34" s="161"/>
    </row>
    <row r="35" spans="1:12" ht="13.5" customHeight="1" thickBot="1" x14ac:dyDescent="0.25">
      <c r="A35" s="486" t="s">
        <v>163</v>
      </c>
      <c r="B35" s="487"/>
      <c r="C35" s="488"/>
      <c r="D35" s="162">
        <f>SUM(D30:D33)</f>
        <v>456465</v>
      </c>
      <c r="E35" s="163">
        <f>SUM(E30:E33)</f>
        <v>459397</v>
      </c>
      <c r="F35" s="164">
        <f>E35/D35</f>
        <v>1.006423274511737</v>
      </c>
      <c r="G35" s="163">
        <f>SUM(G30:G33)</f>
        <v>3133397</v>
      </c>
      <c r="H35" s="163">
        <f>SUM(H30:H33)</f>
        <v>3196532</v>
      </c>
      <c r="I35" s="164">
        <f>H35/G35</f>
        <v>1.0201490586733823</v>
      </c>
      <c r="J35" s="163">
        <f>SUM(J30:J33)</f>
        <v>700575448</v>
      </c>
      <c r="K35" s="163">
        <f>SUM(K30:K33)</f>
        <v>713363854</v>
      </c>
      <c r="L35" s="164">
        <f>K35/J35</f>
        <v>1.0182541452694471</v>
      </c>
    </row>
  </sheetData>
  <mergeCells count="35">
    <mergeCell ref="A28:C28"/>
    <mergeCell ref="A30:C30"/>
    <mergeCell ref="A34:C34"/>
    <mergeCell ref="A35:C35"/>
    <mergeCell ref="A22:C22"/>
    <mergeCell ref="A23:C23"/>
    <mergeCell ref="A24:C24"/>
    <mergeCell ref="A25:C25"/>
    <mergeCell ref="A26:C26"/>
    <mergeCell ref="A27:C27"/>
    <mergeCell ref="A21:C21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9:C9"/>
    <mergeCell ref="A1:C3"/>
    <mergeCell ref="D1:F1"/>
    <mergeCell ref="G1:I1"/>
    <mergeCell ref="J1:L1"/>
    <mergeCell ref="D2:F2"/>
    <mergeCell ref="G2:I2"/>
    <mergeCell ref="J2:L2"/>
    <mergeCell ref="A4:C4"/>
    <mergeCell ref="A5:C5"/>
    <mergeCell ref="A6:C6"/>
    <mergeCell ref="A7:C7"/>
    <mergeCell ref="A8:C8"/>
  </mergeCells>
  <conditionalFormatting sqref="A25:C65535 A1:A24 B1:C23 D1:IV65535">
    <cfRule type="cellIs" dxfId="36" priority="4" stopIfTrue="1" operator="equal">
      <formula>0</formula>
    </cfRule>
  </conditionalFormatting>
  <conditionalFormatting sqref="D3:E3">
    <cfRule type="cellIs" dxfId="35" priority="3" stopIfTrue="1" operator="equal">
      <formula>0</formula>
    </cfRule>
  </conditionalFormatting>
  <conditionalFormatting sqref="G3:H3">
    <cfRule type="cellIs" dxfId="34" priority="2" stopIfTrue="1" operator="equal">
      <formula>0</formula>
    </cfRule>
  </conditionalFormatting>
  <conditionalFormatting sqref="J3:K3">
    <cfRule type="cellIs" dxfId="33" priority="1" stopIfTrue="1" operator="equal">
      <formula>0</formula>
    </cfRule>
  </conditionalFormatting>
  <printOptions horizontalCentered="1" verticalCentered="1"/>
  <pageMargins left="0.70866141732283472" right="0.74803149606299213" top="0.98425196850393704" bottom="0.59055118110236227" header="0.31496062992125984" footer="0.31496062992125984"/>
  <pageSetup paperSize="9" scale="95" orientation="landscape" horizontalDpi="4294967294" r:id="rId1"/>
  <headerFooter alignWithMargins="0">
    <oddHeader>&amp;CA szervezeti egységek
 Teljesítmény mutatóinak összehasonlító táblája
2014/2015. évben&amp;R1. sz. melléklet</oddHeader>
    <oddFooter>&amp;L&amp;D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M1" sqref="M1"/>
    </sheetView>
  </sheetViews>
  <sheetFormatPr defaultColWidth="9" defaultRowHeight="13.5" customHeight="1" x14ac:dyDescent="0.2"/>
  <cols>
    <col min="1" max="3" width="9" style="131" customWidth="1"/>
    <col min="4" max="5" width="11.7109375" style="131" customWidth="1"/>
    <col min="6" max="6" width="11.7109375" style="165" customWidth="1"/>
    <col min="7" max="8" width="11.7109375" style="131" customWidth="1"/>
    <col min="9" max="9" width="11.7109375" style="165" customWidth="1"/>
    <col min="10" max="11" width="11.7109375" style="131" customWidth="1"/>
    <col min="12" max="12" width="11.7109375" style="165" customWidth="1"/>
    <col min="13" max="256" width="9" style="131"/>
    <col min="257" max="259" width="9" style="131" customWidth="1"/>
    <col min="260" max="268" width="11.7109375" style="131" customWidth="1"/>
    <col min="269" max="512" width="9" style="131"/>
    <col min="513" max="515" width="9" style="131" customWidth="1"/>
    <col min="516" max="524" width="11.7109375" style="131" customWidth="1"/>
    <col min="525" max="768" width="9" style="131"/>
    <col min="769" max="771" width="9" style="131" customWidth="1"/>
    <col min="772" max="780" width="11.7109375" style="131" customWidth="1"/>
    <col min="781" max="1024" width="9" style="131"/>
    <col min="1025" max="1027" width="9" style="131" customWidth="1"/>
    <col min="1028" max="1036" width="11.7109375" style="131" customWidth="1"/>
    <col min="1037" max="1280" width="9" style="131"/>
    <col min="1281" max="1283" width="9" style="131" customWidth="1"/>
    <col min="1284" max="1292" width="11.7109375" style="131" customWidth="1"/>
    <col min="1293" max="1536" width="9" style="131"/>
    <col min="1537" max="1539" width="9" style="131" customWidth="1"/>
    <col min="1540" max="1548" width="11.7109375" style="131" customWidth="1"/>
    <col min="1549" max="1792" width="9" style="131"/>
    <col min="1793" max="1795" width="9" style="131" customWidth="1"/>
    <col min="1796" max="1804" width="11.7109375" style="131" customWidth="1"/>
    <col min="1805" max="2048" width="9" style="131"/>
    <col min="2049" max="2051" width="9" style="131" customWidth="1"/>
    <col min="2052" max="2060" width="11.7109375" style="131" customWidth="1"/>
    <col min="2061" max="2304" width="9" style="131"/>
    <col min="2305" max="2307" width="9" style="131" customWidth="1"/>
    <col min="2308" max="2316" width="11.7109375" style="131" customWidth="1"/>
    <col min="2317" max="2560" width="9" style="131"/>
    <col min="2561" max="2563" width="9" style="131" customWidth="1"/>
    <col min="2564" max="2572" width="11.7109375" style="131" customWidth="1"/>
    <col min="2573" max="2816" width="9" style="131"/>
    <col min="2817" max="2819" width="9" style="131" customWidth="1"/>
    <col min="2820" max="2828" width="11.7109375" style="131" customWidth="1"/>
    <col min="2829" max="3072" width="9" style="131"/>
    <col min="3073" max="3075" width="9" style="131" customWidth="1"/>
    <col min="3076" max="3084" width="11.7109375" style="131" customWidth="1"/>
    <col min="3085" max="3328" width="9" style="131"/>
    <col min="3329" max="3331" width="9" style="131" customWidth="1"/>
    <col min="3332" max="3340" width="11.7109375" style="131" customWidth="1"/>
    <col min="3341" max="3584" width="9" style="131"/>
    <col min="3585" max="3587" width="9" style="131" customWidth="1"/>
    <col min="3588" max="3596" width="11.7109375" style="131" customWidth="1"/>
    <col min="3597" max="3840" width="9" style="131"/>
    <col min="3841" max="3843" width="9" style="131" customWidth="1"/>
    <col min="3844" max="3852" width="11.7109375" style="131" customWidth="1"/>
    <col min="3853" max="4096" width="9" style="131"/>
    <col min="4097" max="4099" width="9" style="131" customWidth="1"/>
    <col min="4100" max="4108" width="11.7109375" style="131" customWidth="1"/>
    <col min="4109" max="4352" width="9" style="131"/>
    <col min="4353" max="4355" width="9" style="131" customWidth="1"/>
    <col min="4356" max="4364" width="11.7109375" style="131" customWidth="1"/>
    <col min="4365" max="4608" width="9" style="131"/>
    <col min="4609" max="4611" width="9" style="131" customWidth="1"/>
    <col min="4612" max="4620" width="11.7109375" style="131" customWidth="1"/>
    <col min="4621" max="4864" width="9" style="131"/>
    <col min="4865" max="4867" width="9" style="131" customWidth="1"/>
    <col min="4868" max="4876" width="11.7109375" style="131" customWidth="1"/>
    <col min="4877" max="5120" width="9" style="131"/>
    <col min="5121" max="5123" width="9" style="131" customWidth="1"/>
    <col min="5124" max="5132" width="11.7109375" style="131" customWidth="1"/>
    <col min="5133" max="5376" width="9" style="131"/>
    <col min="5377" max="5379" width="9" style="131" customWidth="1"/>
    <col min="5380" max="5388" width="11.7109375" style="131" customWidth="1"/>
    <col min="5389" max="5632" width="9" style="131"/>
    <col min="5633" max="5635" width="9" style="131" customWidth="1"/>
    <col min="5636" max="5644" width="11.7109375" style="131" customWidth="1"/>
    <col min="5645" max="5888" width="9" style="131"/>
    <col min="5889" max="5891" width="9" style="131" customWidth="1"/>
    <col min="5892" max="5900" width="11.7109375" style="131" customWidth="1"/>
    <col min="5901" max="6144" width="9" style="131"/>
    <col min="6145" max="6147" width="9" style="131" customWidth="1"/>
    <col min="6148" max="6156" width="11.7109375" style="131" customWidth="1"/>
    <col min="6157" max="6400" width="9" style="131"/>
    <col min="6401" max="6403" width="9" style="131" customWidth="1"/>
    <col min="6404" max="6412" width="11.7109375" style="131" customWidth="1"/>
    <col min="6413" max="6656" width="9" style="131"/>
    <col min="6657" max="6659" width="9" style="131" customWidth="1"/>
    <col min="6660" max="6668" width="11.7109375" style="131" customWidth="1"/>
    <col min="6669" max="6912" width="9" style="131"/>
    <col min="6913" max="6915" width="9" style="131" customWidth="1"/>
    <col min="6916" max="6924" width="11.7109375" style="131" customWidth="1"/>
    <col min="6925" max="7168" width="9" style="131"/>
    <col min="7169" max="7171" width="9" style="131" customWidth="1"/>
    <col min="7172" max="7180" width="11.7109375" style="131" customWidth="1"/>
    <col min="7181" max="7424" width="9" style="131"/>
    <col min="7425" max="7427" width="9" style="131" customWidth="1"/>
    <col min="7428" max="7436" width="11.7109375" style="131" customWidth="1"/>
    <col min="7437" max="7680" width="9" style="131"/>
    <col min="7681" max="7683" width="9" style="131" customWidth="1"/>
    <col min="7684" max="7692" width="11.7109375" style="131" customWidth="1"/>
    <col min="7693" max="7936" width="9" style="131"/>
    <col min="7937" max="7939" width="9" style="131" customWidth="1"/>
    <col min="7940" max="7948" width="11.7109375" style="131" customWidth="1"/>
    <col min="7949" max="8192" width="9" style="131"/>
    <col min="8193" max="8195" width="9" style="131" customWidth="1"/>
    <col min="8196" max="8204" width="11.7109375" style="131" customWidth="1"/>
    <col min="8205" max="8448" width="9" style="131"/>
    <col min="8449" max="8451" width="9" style="131" customWidth="1"/>
    <col min="8452" max="8460" width="11.7109375" style="131" customWidth="1"/>
    <col min="8461" max="8704" width="9" style="131"/>
    <col min="8705" max="8707" width="9" style="131" customWidth="1"/>
    <col min="8708" max="8716" width="11.7109375" style="131" customWidth="1"/>
    <col min="8717" max="8960" width="9" style="131"/>
    <col min="8961" max="8963" width="9" style="131" customWidth="1"/>
    <col min="8964" max="8972" width="11.7109375" style="131" customWidth="1"/>
    <col min="8973" max="9216" width="9" style="131"/>
    <col min="9217" max="9219" width="9" style="131" customWidth="1"/>
    <col min="9220" max="9228" width="11.7109375" style="131" customWidth="1"/>
    <col min="9229" max="9472" width="9" style="131"/>
    <col min="9473" max="9475" width="9" style="131" customWidth="1"/>
    <col min="9476" max="9484" width="11.7109375" style="131" customWidth="1"/>
    <col min="9485" max="9728" width="9" style="131"/>
    <col min="9729" max="9731" width="9" style="131" customWidth="1"/>
    <col min="9732" max="9740" width="11.7109375" style="131" customWidth="1"/>
    <col min="9741" max="9984" width="9" style="131"/>
    <col min="9985" max="9987" width="9" style="131" customWidth="1"/>
    <col min="9988" max="9996" width="11.7109375" style="131" customWidth="1"/>
    <col min="9997" max="10240" width="9" style="131"/>
    <col min="10241" max="10243" width="9" style="131" customWidth="1"/>
    <col min="10244" max="10252" width="11.7109375" style="131" customWidth="1"/>
    <col min="10253" max="10496" width="9" style="131"/>
    <col min="10497" max="10499" width="9" style="131" customWidth="1"/>
    <col min="10500" max="10508" width="11.7109375" style="131" customWidth="1"/>
    <col min="10509" max="10752" width="9" style="131"/>
    <col min="10753" max="10755" width="9" style="131" customWidth="1"/>
    <col min="10756" max="10764" width="11.7109375" style="131" customWidth="1"/>
    <col min="10765" max="11008" width="9" style="131"/>
    <col min="11009" max="11011" width="9" style="131" customWidth="1"/>
    <col min="11012" max="11020" width="11.7109375" style="131" customWidth="1"/>
    <col min="11021" max="11264" width="9" style="131"/>
    <col min="11265" max="11267" width="9" style="131" customWidth="1"/>
    <col min="11268" max="11276" width="11.7109375" style="131" customWidth="1"/>
    <col min="11277" max="11520" width="9" style="131"/>
    <col min="11521" max="11523" width="9" style="131" customWidth="1"/>
    <col min="11524" max="11532" width="11.7109375" style="131" customWidth="1"/>
    <col min="11533" max="11776" width="9" style="131"/>
    <col min="11777" max="11779" width="9" style="131" customWidth="1"/>
    <col min="11780" max="11788" width="11.7109375" style="131" customWidth="1"/>
    <col min="11789" max="12032" width="9" style="131"/>
    <col min="12033" max="12035" width="9" style="131" customWidth="1"/>
    <col min="12036" max="12044" width="11.7109375" style="131" customWidth="1"/>
    <col min="12045" max="12288" width="9" style="131"/>
    <col min="12289" max="12291" width="9" style="131" customWidth="1"/>
    <col min="12292" max="12300" width="11.7109375" style="131" customWidth="1"/>
    <col min="12301" max="12544" width="9" style="131"/>
    <col min="12545" max="12547" width="9" style="131" customWidth="1"/>
    <col min="12548" max="12556" width="11.7109375" style="131" customWidth="1"/>
    <col min="12557" max="12800" width="9" style="131"/>
    <col min="12801" max="12803" width="9" style="131" customWidth="1"/>
    <col min="12804" max="12812" width="11.7109375" style="131" customWidth="1"/>
    <col min="12813" max="13056" width="9" style="131"/>
    <col min="13057" max="13059" width="9" style="131" customWidth="1"/>
    <col min="13060" max="13068" width="11.7109375" style="131" customWidth="1"/>
    <col min="13069" max="13312" width="9" style="131"/>
    <col min="13313" max="13315" width="9" style="131" customWidth="1"/>
    <col min="13316" max="13324" width="11.7109375" style="131" customWidth="1"/>
    <col min="13325" max="13568" width="9" style="131"/>
    <col min="13569" max="13571" width="9" style="131" customWidth="1"/>
    <col min="13572" max="13580" width="11.7109375" style="131" customWidth="1"/>
    <col min="13581" max="13824" width="9" style="131"/>
    <col min="13825" max="13827" width="9" style="131" customWidth="1"/>
    <col min="13828" max="13836" width="11.7109375" style="131" customWidth="1"/>
    <col min="13837" max="14080" width="9" style="131"/>
    <col min="14081" max="14083" width="9" style="131" customWidth="1"/>
    <col min="14084" max="14092" width="11.7109375" style="131" customWidth="1"/>
    <col min="14093" max="14336" width="9" style="131"/>
    <col min="14337" max="14339" width="9" style="131" customWidth="1"/>
    <col min="14340" max="14348" width="11.7109375" style="131" customWidth="1"/>
    <col min="14349" max="14592" width="9" style="131"/>
    <col min="14593" max="14595" width="9" style="131" customWidth="1"/>
    <col min="14596" max="14604" width="11.7109375" style="131" customWidth="1"/>
    <col min="14605" max="14848" width="9" style="131"/>
    <col min="14849" max="14851" width="9" style="131" customWidth="1"/>
    <col min="14852" max="14860" width="11.7109375" style="131" customWidth="1"/>
    <col min="14861" max="15104" width="9" style="131"/>
    <col min="15105" max="15107" width="9" style="131" customWidth="1"/>
    <col min="15108" max="15116" width="11.7109375" style="131" customWidth="1"/>
    <col min="15117" max="15360" width="9" style="131"/>
    <col min="15361" max="15363" width="9" style="131" customWidth="1"/>
    <col min="15364" max="15372" width="11.7109375" style="131" customWidth="1"/>
    <col min="15373" max="15616" width="9" style="131"/>
    <col min="15617" max="15619" width="9" style="131" customWidth="1"/>
    <col min="15620" max="15628" width="11.7109375" style="131" customWidth="1"/>
    <col min="15629" max="15872" width="9" style="131"/>
    <col min="15873" max="15875" width="9" style="131" customWidth="1"/>
    <col min="15876" max="15884" width="11.7109375" style="131" customWidth="1"/>
    <col min="15885" max="16128" width="9" style="131"/>
    <col min="16129" max="16131" width="9" style="131" customWidth="1"/>
    <col min="16132" max="16140" width="11.7109375" style="131" customWidth="1"/>
    <col min="16141" max="16384" width="9" style="131"/>
  </cols>
  <sheetData>
    <row r="1" spans="1:12" ht="13.5" customHeight="1" thickBot="1" x14ac:dyDescent="0.25">
      <c r="A1" s="465" t="s">
        <v>128</v>
      </c>
      <c r="B1" s="466"/>
      <c r="C1" s="467"/>
      <c r="D1" s="474" t="s">
        <v>129</v>
      </c>
      <c r="E1" s="475"/>
      <c r="F1" s="476"/>
      <c r="G1" s="475" t="s">
        <v>130</v>
      </c>
      <c r="H1" s="475"/>
      <c r="I1" s="476"/>
      <c r="J1" s="475" t="s">
        <v>131</v>
      </c>
      <c r="K1" s="475"/>
      <c r="L1" s="476"/>
    </row>
    <row r="2" spans="1:12" ht="13.5" customHeight="1" x14ac:dyDescent="0.2">
      <c r="A2" s="468"/>
      <c r="B2" s="469"/>
      <c r="C2" s="470"/>
      <c r="D2" s="471" t="s">
        <v>132</v>
      </c>
      <c r="E2" s="472"/>
      <c r="F2" s="473"/>
      <c r="G2" s="477" t="s">
        <v>133</v>
      </c>
      <c r="H2" s="478"/>
      <c r="I2" s="479"/>
      <c r="J2" s="477" t="s">
        <v>133</v>
      </c>
      <c r="K2" s="478"/>
      <c r="L2" s="479"/>
    </row>
    <row r="3" spans="1:12" ht="13.5" customHeight="1" x14ac:dyDescent="0.2">
      <c r="A3" s="471"/>
      <c r="B3" s="472"/>
      <c r="C3" s="473"/>
      <c r="D3" s="132">
        <v>2014</v>
      </c>
      <c r="E3" s="133">
        <v>2015</v>
      </c>
      <c r="F3" s="134" t="s">
        <v>134</v>
      </c>
      <c r="G3" s="132">
        <v>2014</v>
      </c>
      <c r="H3" s="133">
        <v>2015</v>
      </c>
      <c r="I3" s="135" t="s">
        <v>134</v>
      </c>
      <c r="J3" s="132">
        <v>2014</v>
      </c>
      <c r="K3" s="133">
        <v>2015</v>
      </c>
      <c r="L3" s="135" t="s">
        <v>134</v>
      </c>
    </row>
    <row r="4" spans="1:12" ht="13.5" customHeight="1" x14ac:dyDescent="0.2">
      <c r="A4" s="480" t="s">
        <v>135</v>
      </c>
      <c r="B4" s="481"/>
      <c r="C4" s="481"/>
      <c r="D4" s="145">
        <v>2488</v>
      </c>
      <c r="E4" s="137">
        <v>2302</v>
      </c>
      <c r="F4" s="138">
        <f t="shared" ref="F4:F26" si="0">E4/D4</f>
        <v>0.92524115755627012</v>
      </c>
      <c r="G4" s="145">
        <v>6780</v>
      </c>
      <c r="H4" s="137">
        <v>6213</v>
      </c>
      <c r="I4" s="138">
        <f t="shared" ref="I4:I26" si="1">H4/G4</f>
        <v>0.91637168141592917</v>
      </c>
      <c r="J4" s="145">
        <v>2592966</v>
      </c>
      <c r="K4" s="137">
        <v>2387194</v>
      </c>
      <c r="L4" s="138">
        <f t="shared" ref="L4:L26" si="2">K4/J4</f>
        <v>0.92064222978627563</v>
      </c>
    </row>
    <row r="5" spans="1:12" ht="13.5" customHeight="1" x14ac:dyDescent="0.2">
      <c r="A5" s="480" t="s">
        <v>136</v>
      </c>
      <c r="B5" s="481"/>
      <c r="C5" s="481"/>
      <c r="D5" s="145">
        <v>3484</v>
      </c>
      <c r="E5" s="166">
        <v>3544</v>
      </c>
      <c r="F5" s="138">
        <f t="shared" si="0"/>
        <v>1.0172215843857635</v>
      </c>
      <c r="G5" s="145">
        <v>10752</v>
      </c>
      <c r="H5" s="166">
        <v>9759</v>
      </c>
      <c r="I5" s="138">
        <f t="shared" si="1"/>
        <v>0.9076450892857143</v>
      </c>
      <c r="J5" s="145">
        <v>1805231</v>
      </c>
      <c r="K5" s="166">
        <v>1614474</v>
      </c>
      <c r="L5" s="138">
        <f t="shared" si="2"/>
        <v>0.89433097481707324</v>
      </c>
    </row>
    <row r="6" spans="1:12" ht="13.5" customHeight="1" x14ac:dyDescent="0.2">
      <c r="A6" s="480" t="s">
        <v>137</v>
      </c>
      <c r="B6" s="481"/>
      <c r="C6" s="481"/>
      <c r="D6" s="145">
        <v>2810</v>
      </c>
      <c r="E6" s="166">
        <v>2830</v>
      </c>
      <c r="F6" s="138">
        <f t="shared" si="0"/>
        <v>1.0071174377224199</v>
      </c>
      <c r="G6" s="145">
        <v>5398</v>
      </c>
      <c r="H6" s="166">
        <v>5391</v>
      </c>
      <c r="I6" s="138">
        <f t="shared" si="1"/>
        <v>0.99870322341607998</v>
      </c>
      <c r="J6" s="145">
        <v>5824525</v>
      </c>
      <c r="K6" s="166">
        <v>5959166</v>
      </c>
      <c r="L6" s="138">
        <f t="shared" si="2"/>
        <v>1.0231162197775785</v>
      </c>
    </row>
    <row r="7" spans="1:12" ht="13.5" customHeight="1" x14ac:dyDescent="0.2">
      <c r="A7" s="463" t="s">
        <v>164</v>
      </c>
      <c r="B7" s="464"/>
      <c r="C7" s="464"/>
      <c r="D7" s="145">
        <v>12268</v>
      </c>
      <c r="E7" s="166">
        <v>11871</v>
      </c>
      <c r="F7" s="138">
        <f t="shared" si="0"/>
        <v>0.96763938702314967</v>
      </c>
      <c r="G7" s="145">
        <v>30343</v>
      </c>
      <c r="H7" s="166">
        <v>29849</v>
      </c>
      <c r="I7" s="138">
        <f t="shared" si="1"/>
        <v>0.9837194740137758</v>
      </c>
      <c r="J7" s="145">
        <v>23934422</v>
      </c>
      <c r="K7" s="166">
        <v>23822426</v>
      </c>
      <c r="L7" s="138">
        <f t="shared" si="2"/>
        <v>0.99532071424160562</v>
      </c>
    </row>
    <row r="8" spans="1:12" ht="13.5" customHeight="1" x14ac:dyDescent="0.2">
      <c r="A8" s="463" t="s">
        <v>139</v>
      </c>
      <c r="B8" s="464"/>
      <c r="C8" s="464"/>
      <c r="D8" s="145">
        <v>23661</v>
      </c>
      <c r="E8" s="166">
        <v>23786</v>
      </c>
      <c r="F8" s="138">
        <f t="shared" si="0"/>
        <v>1.0052829550737501</v>
      </c>
      <c r="G8" s="145">
        <v>117004</v>
      </c>
      <c r="H8" s="166">
        <v>114916</v>
      </c>
      <c r="I8" s="138">
        <f t="shared" si="1"/>
        <v>0.98215445625790576</v>
      </c>
      <c r="J8" s="145">
        <v>38579104</v>
      </c>
      <c r="K8" s="166">
        <v>37941280</v>
      </c>
      <c r="L8" s="138">
        <f t="shared" si="2"/>
        <v>0.9834671121444396</v>
      </c>
    </row>
    <row r="9" spans="1:12" ht="13.5" customHeight="1" x14ac:dyDescent="0.2">
      <c r="A9" s="463" t="s">
        <v>140</v>
      </c>
      <c r="B9" s="464"/>
      <c r="C9" s="464"/>
      <c r="D9" s="145">
        <v>13641</v>
      </c>
      <c r="E9" s="166">
        <v>12819</v>
      </c>
      <c r="F9" s="138">
        <f t="shared" si="0"/>
        <v>0.93974048823400047</v>
      </c>
      <c r="G9" s="145">
        <v>60173</v>
      </c>
      <c r="H9" s="166">
        <v>55754</v>
      </c>
      <c r="I9" s="138">
        <f t="shared" si="1"/>
        <v>0.92656174696292359</v>
      </c>
      <c r="J9" s="145">
        <v>19997428</v>
      </c>
      <c r="K9" s="166">
        <v>18519499</v>
      </c>
      <c r="L9" s="138">
        <f t="shared" si="2"/>
        <v>0.92609404569427634</v>
      </c>
    </row>
    <row r="10" spans="1:12" ht="13.5" customHeight="1" x14ac:dyDescent="0.2">
      <c r="A10" s="463" t="s">
        <v>141</v>
      </c>
      <c r="B10" s="464"/>
      <c r="C10" s="464"/>
      <c r="D10" s="145">
        <v>2438</v>
      </c>
      <c r="E10" s="166">
        <v>2490</v>
      </c>
      <c r="F10" s="138">
        <f t="shared" si="0"/>
        <v>1.0213289581624283</v>
      </c>
      <c r="G10" s="145">
        <v>11269</v>
      </c>
      <c r="H10" s="166">
        <v>11710</v>
      </c>
      <c r="I10" s="138">
        <f t="shared" si="1"/>
        <v>1.0391339071789867</v>
      </c>
      <c r="J10" s="145">
        <v>3469260</v>
      </c>
      <c r="K10" s="166">
        <v>3570932</v>
      </c>
      <c r="L10" s="138">
        <f t="shared" si="2"/>
        <v>1.0293065379936932</v>
      </c>
    </row>
    <row r="11" spans="1:12" ht="13.5" customHeight="1" x14ac:dyDescent="0.2">
      <c r="A11" s="463" t="s">
        <v>142</v>
      </c>
      <c r="B11" s="464"/>
      <c r="C11" s="464"/>
      <c r="D11" s="145">
        <v>997</v>
      </c>
      <c r="E11" s="166">
        <v>1106</v>
      </c>
      <c r="F11" s="138">
        <f t="shared" si="0"/>
        <v>1.1093279839518555</v>
      </c>
      <c r="G11" s="145">
        <v>1985</v>
      </c>
      <c r="H11" s="166">
        <v>2192</v>
      </c>
      <c r="I11" s="138">
        <f t="shared" si="1"/>
        <v>1.1042821158690177</v>
      </c>
      <c r="J11" s="145">
        <v>1319274</v>
      </c>
      <c r="K11" s="166">
        <v>1457736</v>
      </c>
      <c r="L11" s="138">
        <f t="shared" si="2"/>
        <v>1.1049531787937912</v>
      </c>
    </row>
    <row r="12" spans="1:12" ht="13.5" customHeight="1" x14ac:dyDescent="0.2">
      <c r="A12" s="463" t="s">
        <v>143</v>
      </c>
      <c r="B12" s="464"/>
      <c r="C12" s="464"/>
      <c r="D12" s="145">
        <v>12064</v>
      </c>
      <c r="E12" s="166">
        <v>12628</v>
      </c>
      <c r="F12" s="138">
        <f t="shared" si="0"/>
        <v>1.0467506631299734</v>
      </c>
      <c r="G12" s="145">
        <v>45622</v>
      </c>
      <c r="H12" s="166">
        <v>43536</v>
      </c>
      <c r="I12" s="138">
        <f t="shared" si="1"/>
        <v>0.95427644557450353</v>
      </c>
      <c r="J12" s="145">
        <v>16856737</v>
      </c>
      <c r="K12" s="166">
        <v>15204708</v>
      </c>
      <c r="L12" s="138">
        <f t="shared" si="2"/>
        <v>0.90199592008821161</v>
      </c>
    </row>
    <row r="13" spans="1:12" ht="13.5" customHeight="1" x14ac:dyDescent="0.2">
      <c r="A13" s="463" t="s">
        <v>144</v>
      </c>
      <c r="B13" s="464"/>
      <c r="C13" s="464"/>
      <c r="D13" s="145">
        <v>11053</v>
      </c>
      <c r="E13" s="166">
        <v>10765</v>
      </c>
      <c r="F13" s="138">
        <f t="shared" si="0"/>
        <v>0.97394372568533427</v>
      </c>
      <c r="G13" s="145">
        <v>31075</v>
      </c>
      <c r="H13" s="166">
        <v>34732</v>
      </c>
      <c r="I13" s="138">
        <f t="shared" si="1"/>
        <v>1.1176830249396621</v>
      </c>
      <c r="J13" s="145">
        <v>9350075</v>
      </c>
      <c r="K13" s="166">
        <v>9667829</v>
      </c>
      <c r="L13" s="138">
        <f t="shared" si="2"/>
        <v>1.0339841124269056</v>
      </c>
    </row>
    <row r="14" spans="1:12" ht="13.5" customHeight="1" x14ac:dyDescent="0.2">
      <c r="A14" s="463" t="s">
        <v>145</v>
      </c>
      <c r="B14" s="464"/>
      <c r="C14" s="464"/>
      <c r="D14" s="145">
        <v>1607</v>
      </c>
      <c r="E14" s="166">
        <v>1697</v>
      </c>
      <c r="F14" s="138">
        <f t="shared" si="0"/>
        <v>1.0560049782202863</v>
      </c>
      <c r="G14" s="145">
        <v>11541</v>
      </c>
      <c r="H14" s="166">
        <v>11581</v>
      </c>
      <c r="I14" s="138">
        <f t="shared" si="1"/>
        <v>1.0034659041677498</v>
      </c>
      <c r="J14" s="145">
        <v>2493872</v>
      </c>
      <c r="K14" s="166">
        <v>2592616</v>
      </c>
      <c r="L14" s="138">
        <f t="shared" si="2"/>
        <v>1.0395946544169068</v>
      </c>
    </row>
    <row r="15" spans="1:12" ht="13.5" customHeight="1" x14ac:dyDescent="0.2">
      <c r="A15" s="463" t="s">
        <v>146</v>
      </c>
      <c r="B15" s="464"/>
      <c r="C15" s="464"/>
      <c r="D15" s="145">
        <v>12779</v>
      </c>
      <c r="E15" s="166">
        <v>13014</v>
      </c>
      <c r="F15" s="138">
        <f t="shared" si="0"/>
        <v>1.0183895453478362</v>
      </c>
      <c r="G15" s="145">
        <v>117741</v>
      </c>
      <c r="H15" s="166">
        <v>118892</v>
      </c>
      <c r="I15" s="138">
        <f t="shared" si="1"/>
        <v>1.0097756941082545</v>
      </c>
      <c r="J15" s="145">
        <v>20740767</v>
      </c>
      <c r="K15" s="166">
        <v>21188810</v>
      </c>
      <c r="L15" s="138">
        <f t="shared" si="2"/>
        <v>1.0216020458645527</v>
      </c>
    </row>
    <row r="16" spans="1:12" ht="13.5" customHeight="1" x14ac:dyDescent="0.2">
      <c r="A16" s="463" t="s">
        <v>147</v>
      </c>
      <c r="B16" s="464"/>
      <c r="C16" s="464"/>
      <c r="D16" s="145">
        <v>0</v>
      </c>
      <c r="E16" s="166">
        <v>0</v>
      </c>
      <c r="F16" s="138"/>
      <c r="G16" s="145">
        <v>0</v>
      </c>
      <c r="H16" s="166">
        <v>0</v>
      </c>
      <c r="I16" s="138"/>
      <c r="J16" s="145">
        <v>0</v>
      </c>
      <c r="K16" s="166">
        <v>0</v>
      </c>
      <c r="L16" s="138"/>
    </row>
    <row r="17" spans="1:12" ht="13.5" customHeight="1" x14ac:dyDescent="0.2">
      <c r="A17" s="463" t="s">
        <v>148</v>
      </c>
      <c r="B17" s="464"/>
      <c r="C17" s="482"/>
      <c r="D17" s="145">
        <v>0</v>
      </c>
      <c r="E17" s="166">
        <v>0</v>
      </c>
      <c r="F17" s="138"/>
      <c r="G17" s="145">
        <v>0</v>
      </c>
      <c r="H17" s="166">
        <v>0</v>
      </c>
      <c r="I17" s="138"/>
      <c r="J17" s="145">
        <v>0</v>
      </c>
      <c r="K17" s="166">
        <v>0</v>
      </c>
      <c r="L17" s="138"/>
    </row>
    <row r="18" spans="1:12" ht="13.5" customHeight="1" x14ac:dyDescent="0.2">
      <c r="A18" s="463" t="s">
        <v>149</v>
      </c>
      <c r="B18" s="464"/>
      <c r="C18" s="464"/>
      <c r="D18" s="145">
        <v>9429</v>
      </c>
      <c r="E18" s="166">
        <v>8711</v>
      </c>
      <c r="F18" s="138">
        <f t="shared" si="0"/>
        <v>0.92385194612366106</v>
      </c>
      <c r="G18" s="145">
        <v>41067</v>
      </c>
      <c r="H18" s="166">
        <v>39974</v>
      </c>
      <c r="I18" s="138">
        <f t="shared" si="1"/>
        <v>0.97338495629093924</v>
      </c>
      <c r="J18" s="145">
        <v>9421430</v>
      </c>
      <c r="K18" s="166">
        <v>8881167</v>
      </c>
      <c r="L18" s="138">
        <f t="shared" si="2"/>
        <v>0.94265594501047079</v>
      </c>
    </row>
    <row r="19" spans="1:12" ht="13.5" customHeight="1" x14ac:dyDescent="0.2">
      <c r="A19" s="463" t="s">
        <v>150</v>
      </c>
      <c r="B19" s="464"/>
      <c r="C19" s="464"/>
      <c r="D19" s="145">
        <v>1031</v>
      </c>
      <c r="E19" s="166">
        <v>1189</v>
      </c>
      <c r="F19" s="138">
        <f t="shared" si="0"/>
        <v>1.1532492725509214</v>
      </c>
      <c r="G19" s="145">
        <v>1991</v>
      </c>
      <c r="H19" s="166">
        <v>2358</v>
      </c>
      <c r="I19" s="138">
        <f t="shared" si="1"/>
        <v>1.1843294826720241</v>
      </c>
      <c r="J19" s="145">
        <v>1137298</v>
      </c>
      <c r="K19" s="166">
        <v>1432184</v>
      </c>
      <c r="L19" s="138">
        <f t="shared" si="2"/>
        <v>1.2592864842811646</v>
      </c>
    </row>
    <row r="20" spans="1:12" ht="13.5" customHeight="1" x14ac:dyDescent="0.2">
      <c r="A20" s="463" t="s">
        <v>151</v>
      </c>
      <c r="B20" s="464"/>
      <c r="C20" s="464"/>
      <c r="D20" s="145">
        <v>7627</v>
      </c>
      <c r="E20" s="166">
        <v>7974</v>
      </c>
      <c r="F20" s="138">
        <f t="shared" si="0"/>
        <v>1.0454962632752065</v>
      </c>
      <c r="G20" s="145">
        <v>27400</v>
      </c>
      <c r="H20" s="166">
        <v>28868</v>
      </c>
      <c r="I20" s="138">
        <f t="shared" si="1"/>
        <v>1.0535766423357664</v>
      </c>
      <c r="J20" s="145">
        <v>10384380</v>
      </c>
      <c r="K20" s="166">
        <v>10788649</v>
      </c>
      <c r="L20" s="138">
        <f t="shared" si="2"/>
        <v>1.0389304898318437</v>
      </c>
    </row>
    <row r="21" spans="1:12" ht="13.5" customHeight="1" x14ac:dyDescent="0.2">
      <c r="A21" s="463" t="s">
        <v>152</v>
      </c>
      <c r="B21" s="464"/>
      <c r="C21" s="464"/>
      <c r="D21" s="145">
        <v>11027</v>
      </c>
      <c r="E21" s="166">
        <v>10300</v>
      </c>
      <c r="F21" s="138">
        <f t="shared" si="0"/>
        <v>0.93407091684048249</v>
      </c>
      <c r="G21" s="145">
        <v>46811</v>
      </c>
      <c r="H21" s="166">
        <v>49844</v>
      </c>
      <c r="I21" s="138">
        <f t="shared" si="1"/>
        <v>1.0647924633099057</v>
      </c>
      <c r="J21" s="145">
        <v>15550987</v>
      </c>
      <c r="K21" s="166">
        <v>16019547</v>
      </c>
      <c r="L21" s="138">
        <f t="shared" si="2"/>
        <v>1.0301305634169715</v>
      </c>
    </row>
    <row r="22" spans="1:12" ht="13.5" customHeight="1" x14ac:dyDescent="0.2">
      <c r="A22" s="463" t="s">
        <v>153</v>
      </c>
      <c r="B22" s="464"/>
      <c r="C22" s="464"/>
      <c r="D22" s="145">
        <v>35202</v>
      </c>
      <c r="E22" s="166">
        <v>35974</v>
      </c>
      <c r="F22" s="138">
        <f t="shared" si="0"/>
        <v>1.0219305721265837</v>
      </c>
      <c r="G22" s="145">
        <v>96903</v>
      </c>
      <c r="H22" s="166">
        <v>94954</v>
      </c>
      <c r="I22" s="138">
        <f t="shared" si="1"/>
        <v>0.97988710359844378</v>
      </c>
      <c r="J22" s="145">
        <v>67922908</v>
      </c>
      <c r="K22" s="166">
        <v>66987870</v>
      </c>
      <c r="L22" s="138">
        <f t="shared" si="2"/>
        <v>0.98623383439354506</v>
      </c>
    </row>
    <row r="23" spans="1:12" ht="13.5" customHeight="1" x14ac:dyDescent="0.2">
      <c r="A23" s="463" t="s">
        <v>154</v>
      </c>
      <c r="B23" s="464"/>
      <c r="C23" s="464"/>
      <c r="D23" s="145">
        <v>17908</v>
      </c>
      <c r="E23" s="166">
        <v>16361</v>
      </c>
      <c r="F23" s="138">
        <f t="shared" si="0"/>
        <v>0.91361402725039087</v>
      </c>
      <c r="G23" s="145">
        <v>185095</v>
      </c>
      <c r="H23" s="166">
        <v>178403</v>
      </c>
      <c r="I23" s="138">
        <f t="shared" si="1"/>
        <v>0.96384559280369542</v>
      </c>
      <c r="J23" s="145">
        <v>25836385</v>
      </c>
      <c r="K23" s="166">
        <v>25347218</v>
      </c>
      <c r="L23" s="138">
        <f t="shared" si="2"/>
        <v>0.98106673979351211</v>
      </c>
    </row>
    <row r="24" spans="1:12" ht="13.5" customHeight="1" x14ac:dyDescent="0.2">
      <c r="A24" s="489" t="s">
        <v>155</v>
      </c>
      <c r="B24" s="490"/>
      <c r="C24" s="491"/>
      <c r="D24" s="145">
        <v>4445</v>
      </c>
      <c r="E24" s="166">
        <v>4094</v>
      </c>
      <c r="F24" s="138">
        <f t="shared" si="0"/>
        <v>0.92103487064116984</v>
      </c>
      <c r="G24" s="145">
        <v>7034</v>
      </c>
      <c r="H24" s="166">
        <v>6064</v>
      </c>
      <c r="I24" s="138">
        <f t="shared" si="1"/>
        <v>0.86209837930054023</v>
      </c>
      <c r="J24" s="145">
        <v>10363262</v>
      </c>
      <c r="K24" s="166">
        <v>8156744</v>
      </c>
      <c r="L24" s="138">
        <f t="shared" si="2"/>
        <v>0.78708267724969228</v>
      </c>
    </row>
    <row r="25" spans="1:12" ht="13.5" customHeight="1" x14ac:dyDescent="0.2">
      <c r="A25" s="463" t="s">
        <v>156</v>
      </c>
      <c r="B25" s="464"/>
      <c r="C25" s="464"/>
      <c r="D25" s="145">
        <v>38292</v>
      </c>
      <c r="E25" s="166">
        <v>37662</v>
      </c>
      <c r="F25" s="138">
        <f t="shared" si="0"/>
        <v>0.98354747727984959</v>
      </c>
      <c r="G25" s="145">
        <v>108360</v>
      </c>
      <c r="H25" s="166">
        <v>74955</v>
      </c>
      <c r="I25" s="138">
        <f t="shared" si="1"/>
        <v>0.69172203765227025</v>
      </c>
      <c r="J25" s="145">
        <v>21037268</v>
      </c>
      <c r="K25" s="166">
        <v>16723965</v>
      </c>
      <c r="L25" s="138">
        <f t="shared" si="2"/>
        <v>0.79496848164885292</v>
      </c>
    </row>
    <row r="26" spans="1:12" ht="13.5" customHeight="1" x14ac:dyDescent="0.2">
      <c r="A26" s="463" t="s">
        <v>157</v>
      </c>
      <c r="B26" s="464"/>
      <c r="C26" s="464"/>
      <c r="D26" s="145">
        <v>21884</v>
      </c>
      <c r="E26" s="166">
        <v>21205</v>
      </c>
      <c r="F26" s="138">
        <f t="shared" si="0"/>
        <v>0.96897276549076949</v>
      </c>
      <c r="G26" s="145">
        <v>152921</v>
      </c>
      <c r="H26" s="166">
        <v>151785</v>
      </c>
      <c r="I26" s="138">
        <f t="shared" si="1"/>
        <v>0.99257132767899769</v>
      </c>
      <c r="J26" s="145">
        <v>21164812</v>
      </c>
      <c r="K26" s="166">
        <v>21599184</v>
      </c>
      <c r="L26" s="138">
        <f t="shared" si="2"/>
        <v>1.0205233101054714</v>
      </c>
    </row>
    <row r="27" spans="1:12" ht="13.5" customHeight="1" x14ac:dyDescent="0.2">
      <c r="A27" s="463" t="s">
        <v>158</v>
      </c>
      <c r="B27" s="464"/>
      <c r="C27" s="464"/>
      <c r="D27" s="145"/>
      <c r="E27" s="137">
        <v>0</v>
      </c>
      <c r="F27" s="138"/>
      <c r="G27" s="145"/>
      <c r="H27" s="137"/>
      <c r="I27" s="138"/>
      <c r="J27" s="145">
        <v>0</v>
      </c>
      <c r="K27" s="137">
        <v>0</v>
      </c>
      <c r="L27" s="138"/>
    </row>
    <row r="28" spans="1:12" ht="13.5" customHeight="1" x14ac:dyDescent="0.2">
      <c r="A28" s="463" t="s">
        <v>159</v>
      </c>
      <c r="B28" s="464"/>
      <c r="C28" s="464"/>
      <c r="D28" s="141"/>
      <c r="E28" s="142"/>
      <c r="F28" s="138"/>
      <c r="G28" s="141"/>
      <c r="H28" s="142"/>
      <c r="I28" s="138"/>
      <c r="J28" s="141"/>
      <c r="K28" s="142"/>
      <c r="L28" s="138"/>
    </row>
    <row r="29" spans="1:12" ht="13.5" customHeight="1" x14ac:dyDescent="0.2">
      <c r="A29" s="139"/>
      <c r="B29" s="140"/>
      <c r="C29" s="140"/>
      <c r="D29" s="141"/>
      <c r="E29" s="142">
        <v>0</v>
      </c>
      <c r="F29" s="143"/>
      <c r="G29" s="141"/>
      <c r="H29" s="142"/>
      <c r="I29" s="143"/>
      <c r="J29" s="141"/>
      <c r="K29" s="142"/>
      <c r="L29" s="143"/>
    </row>
    <row r="30" spans="1:12" ht="13.5" customHeight="1" x14ac:dyDescent="0.2">
      <c r="A30" s="463" t="s">
        <v>160</v>
      </c>
      <c r="B30" s="464"/>
      <c r="C30" s="482"/>
      <c r="D30" s="145">
        <f>SUM(D4:D28)-D27-D28</f>
        <v>246135</v>
      </c>
      <c r="E30" s="137">
        <f>SUM(E4:E28)-E27-E28</f>
        <v>242322</v>
      </c>
      <c r="F30" s="138">
        <f>E30/D30</f>
        <v>0.98450850143214086</v>
      </c>
      <c r="G30" s="145">
        <f>SUM(G4:G28)-G27-G28</f>
        <v>1117265</v>
      </c>
      <c r="H30" s="137">
        <f>SUM(H4:H28)-H27-H28</f>
        <v>1071730</v>
      </c>
      <c r="I30" s="138">
        <f>H30/G30</f>
        <v>0.9592442258551015</v>
      </c>
      <c r="J30" s="145">
        <f>SUM(J4:J28)-J27-J28</f>
        <v>329782391</v>
      </c>
      <c r="K30" s="137">
        <f>SUM(K4:K28)-K27-K28</f>
        <v>319863198</v>
      </c>
      <c r="L30" s="138">
        <f>K30/J30</f>
        <v>0.96992200532623341</v>
      </c>
    </row>
    <row r="31" spans="1:12" ht="13.5" customHeight="1" thickBot="1" x14ac:dyDescent="0.25">
      <c r="A31" s="146"/>
      <c r="B31" s="147"/>
      <c r="C31" s="147"/>
      <c r="D31" s="148"/>
      <c r="E31" s="149"/>
      <c r="F31" s="150"/>
      <c r="G31" s="148"/>
      <c r="H31" s="149"/>
      <c r="I31" s="150"/>
      <c r="J31" s="148"/>
      <c r="K31" s="149"/>
      <c r="L31" s="150"/>
    </row>
    <row r="32" spans="1:12" ht="13.5" customHeight="1" thickBot="1" x14ac:dyDescent="0.25">
      <c r="A32" s="152" t="s">
        <v>161</v>
      </c>
      <c r="B32" s="153"/>
      <c r="C32" s="153"/>
      <c r="D32" s="154">
        <v>73115</v>
      </c>
      <c r="E32" s="155">
        <v>74165</v>
      </c>
      <c r="F32" s="156">
        <f>E32/D32</f>
        <v>1.0143609382479655</v>
      </c>
      <c r="G32" s="154">
        <v>1282724</v>
      </c>
      <c r="H32" s="155">
        <v>1353762</v>
      </c>
      <c r="I32" s="156">
        <f>H32/G32</f>
        <v>1.0553805807016943</v>
      </c>
      <c r="J32" s="154">
        <v>210935828</v>
      </c>
      <c r="K32" s="155">
        <v>227180761</v>
      </c>
      <c r="L32" s="156">
        <f>K32/J32</f>
        <v>1.0770136261536376</v>
      </c>
    </row>
    <row r="33" spans="1:12" ht="13.5" customHeight="1" thickBot="1" x14ac:dyDescent="0.25">
      <c r="A33" s="157" t="s">
        <v>162</v>
      </c>
      <c r="B33" s="158"/>
      <c r="C33" s="158"/>
      <c r="D33" s="154">
        <f>D27+D28</f>
        <v>0</v>
      </c>
      <c r="E33" s="167">
        <f>E27+E28</f>
        <v>0</v>
      </c>
      <c r="F33" s="156"/>
      <c r="G33" s="154">
        <f>G27+G28</f>
        <v>0</v>
      </c>
      <c r="H33" s="167">
        <f>H27+H28</f>
        <v>0</v>
      </c>
      <c r="I33" s="156"/>
      <c r="J33" s="154">
        <f>J27+J28</f>
        <v>0</v>
      </c>
      <c r="K33" s="167">
        <f>K27+K28</f>
        <v>0</v>
      </c>
      <c r="L33" s="156"/>
    </row>
    <row r="34" spans="1:12" ht="13.5" customHeight="1" x14ac:dyDescent="0.2">
      <c r="A34" s="483"/>
      <c r="B34" s="484"/>
      <c r="C34" s="485"/>
      <c r="D34" s="159"/>
      <c r="E34" s="160"/>
      <c r="F34" s="161"/>
      <c r="G34" s="159"/>
      <c r="H34" s="160"/>
      <c r="I34" s="161"/>
      <c r="J34" s="159"/>
      <c r="K34" s="160"/>
      <c r="L34" s="161"/>
    </row>
    <row r="35" spans="1:12" ht="13.5" customHeight="1" thickBot="1" x14ac:dyDescent="0.25">
      <c r="A35" s="486" t="s">
        <v>163</v>
      </c>
      <c r="B35" s="487"/>
      <c r="C35" s="488"/>
      <c r="D35" s="162">
        <f>SUM(D30:D33)</f>
        <v>319250</v>
      </c>
      <c r="E35" s="163">
        <f>SUM(E30:E33)</f>
        <v>316487</v>
      </c>
      <c r="F35" s="164">
        <f>E35/D35</f>
        <v>0.99134534064212998</v>
      </c>
      <c r="G35" s="163">
        <f>SUM(G30:G33)</f>
        <v>2399989</v>
      </c>
      <c r="H35" s="163">
        <f>SUM(H30:H33)</f>
        <v>2425492</v>
      </c>
      <c r="I35" s="164">
        <f>H35/G35</f>
        <v>1.010626298703869</v>
      </c>
      <c r="J35" s="163">
        <f>SUM(J30:J33)</f>
        <v>540718219</v>
      </c>
      <c r="K35" s="163">
        <f>SUM(K30:K33)</f>
        <v>547043959</v>
      </c>
      <c r="L35" s="164">
        <f>K35/J35</f>
        <v>1.0116987735528844</v>
      </c>
    </row>
  </sheetData>
  <mergeCells count="35">
    <mergeCell ref="A28:C28"/>
    <mergeCell ref="A30:C30"/>
    <mergeCell ref="A34:C34"/>
    <mergeCell ref="A35:C35"/>
    <mergeCell ref="A22:C22"/>
    <mergeCell ref="A23:C23"/>
    <mergeCell ref="A24:C24"/>
    <mergeCell ref="A25:C25"/>
    <mergeCell ref="A26:C26"/>
    <mergeCell ref="A27:C27"/>
    <mergeCell ref="A21:C21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9:C9"/>
    <mergeCell ref="A1:C3"/>
    <mergeCell ref="D1:F1"/>
    <mergeCell ref="G1:I1"/>
    <mergeCell ref="J1:L1"/>
    <mergeCell ref="D2:F2"/>
    <mergeCell ref="G2:I2"/>
    <mergeCell ref="J2:L2"/>
    <mergeCell ref="A4:C4"/>
    <mergeCell ref="A5:C5"/>
    <mergeCell ref="A6:C6"/>
    <mergeCell ref="A7:C7"/>
    <mergeCell ref="A8:C8"/>
  </mergeCells>
  <conditionalFormatting sqref="A25:C65533 A1:A24 B1:C23 D1:IV65533">
    <cfRule type="cellIs" dxfId="32" priority="7" stopIfTrue="1" operator="equal">
      <formula>0</formula>
    </cfRule>
  </conditionalFormatting>
  <printOptions horizontalCentered="1" verticalCentered="1"/>
  <pageMargins left="0.70866141732283472" right="0.74803149606299213" top="0.98425196850393704" bottom="0.39370078740157483" header="0.31496062992125984" footer="0.19685039370078741"/>
  <pageSetup paperSize="9" scale="95" orientation="landscape" horizontalDpi="4294967294" r:id="rId1"/>
  <headerFooter alignWithMargins="0">
    <oddHeader>&amp;CA szervezeti egységek
 Teljesítmény mutatóinak összehasonlító táblája
2014/2015. évben (Szegedi úti szakrendelő)&amp;R1/a. sz. melléklet</oddHeader>
    <oddFooter>&amp;L&amp;D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M1" sqref="M1"/>
    </sheetView>
  </sheetViews>
  <sheetFormatPr defaultColWidth="9" defaultRowHeight="13.5" customHeight="1" x14ac:dyDescent="0.2"/>
  <cols>
    <col min="1" max="3" width="9" style="131" customWidth="1"/>
    <col min="4" max="5" width="11.7109375" style="131" customWidth="1"/>
    <col min="6" max="6" width="11.7109375" style="165" customWidth="1"/>
    <col min="7" max="8" width="11.7109375" style="131" customWidth="1"/>
    <col min="9" max="9" width="11.7109375" style="165" customWidth="1"/>
    <col min="10" max="11" width="11.7109375" style="131" customWidth="1"/>
    <col min="12" max="12" width="11.7109375" style="165" customWidth="1"/>
    <col min="13" max="256" width="9" style="131"/>
    <col min="257" max="259" width="9" style="131" customWidth="1"/>
    <col min="260" max="268" width="11.7109375" style="131" customWidth="1"/>
    <col min="269" max="512" width="9" style="131"/>
    <col min="513" max="515" width="9" style="131" customWidth="1"/>
    <col min="516" max="524" width="11.7109375" style="131" customWidth="1"/>
    <col min="525" max="768" width="9" style="131"/>
    <col min="769" max="771" width="9" style="131" customWidth="1"/>
    <col min="772" max="780" width="11.7109375" style="131" customWidth="1"/>
    <col min="781" max="1024" width="9" style="131"/>
    <col min="1025" max="1027" width="9" style="131" customWidth="1"/>
    <col min="1028" max="1036" width="11.7109375" style="131" customWidth="1"/>
    <col min="1037" max="1280" width="9" style="131"/>
    <col min="1281" max="1283" width="9" style="131" customWidth="1"/>
    <col min="1284" max="1292" width="11.7109375" style="131" customWidth="1"/>
    <col min="1293" max="1536" width="9" style="131"/>
    <col min="1537" max="1539" width="9" style="131" customWidth="1"/>
    <col min="1540" max="1548" width="11.7109375" style="131" customWidth="1"/>
    <col min="1549" max="1792" width="9" style="131"/>
    <col min="1793" max="1795" width="9" style="131" customWidth="1"/>
    <col min="1796" max="1804" width="11.7109375" style="131" customWidth="1"/>
    <col min="1805" max="2048" width="9" style="131"/>
    <col min="2049" max="2051" width="9" style="131" customWidth="1"/>
    <col min="2052" max="2060" width="11.7109375" style="131" customWidth="1"/>
    <col min="2061" max="2304" width="9" style="131"/>
    <col min="2305" max="2307" width="9" style="131" customWidth="1"/>
    <col min="2308" max="2316" width="11.7109375" style="131" customWidth="1"/>
    <col min="2317" max="2560" width="9" style="131"/>
    <col min="2561" max="2563" width="9" style="131" customWidth="1"/>
    <col min="2564" max="2572" width="11.7109375" style="131" customWidth="1"/>
    <col min="2573" max="2816" width="9" style="131"/>
    <col min="2817" max="2819" width="9" style="131" customWidth="1"/>
    <col min="2820" max="2828" width="11.7109375" style="131" customWidth="1"/>
    <col min="2829" max="3072" width="9" style="131"/>
    <col min="3073" max="3075" width="9" style="131" customWidth="1"/>
    <col min="3076" max="3084" width="11.7109375" style="131" customWidth="1"/>
    <col min="3085" max="3328" width="9" style="131"/>
    <col min="3329" max="3331" width="9" style="131" customWidth="1"/>
    <col min="3332" max="3340" width="11.7109375" style="131" customWidth="1"/>
    <col min="3341" max="3584" width="9" style="131"/>
    <col min="3585" max="3587" width="9" style="131" customWidth="1"/>
    <col min="3588" max="3596" width="11.7109375" style="131" customWidth="1"/>
    <col min="3597" max="3840" width="9" style="131"/>
    <col min="3841" max="3843" width="9" style="131" customWidth="1"/>
    <col min="3844" max="3852" width="11.7109375" style="131" customWidth="1"/>
    <col min="3853" max="4096" width="9" style="131"/>
    <col min="4097" max="4099" width="9" style="131" customWidth="1"/>
    <col min="4100" max="4108" width="11.7109375" style="131" customWidth="1"/>
    <col min="4109" max="4352" width="9" style="131"/>
    <col min="4353" max="4355" width="9" style="131" customWidth="1"/>
    <col min="4356" max="4364" width="11.7109375" style="131" customWidth="1"/>
    <col min="4365" max="4608" width="9" style="131"/>
    <col min="4609" max="4611" width="9" style="131" customWidth="1"/>
    <col min="4612" max="4620" width="11.7109375" style="131" customWidth="1"/>
    <col min="4621" max="4864" width="9" style="131"/>
    <col min="4865" max="4867" width="9" style="131" customWidth="1"/>
    <col min="4868" max="4876" width="11.7109375" style="131" customWidth="1"/>
    <col min="4877" max="5120" width="9" style="131"/>
    <col min="5121" max="5123" width="9" style="131" customWidth="1"/>
    <col min="5124" max="5132" width="11.7109375" style="131" customWidth="1"/>
    <col min="5133" max="5376" width="9" style="131"/>
    <col min="5377" max="5379" width="9" style="131" customWidth="1"/>
    <col min="5380" max="5388" width="11.7109375" style="131" customWidth="1"/>
    <col min="5389" max="5632" width="9" style="131"/>
    <col min="5633" max="5635" width="9" style="131" customWidth="1"/>
    <col min="5636" max="5644" width="11.7109375" style="131" customWidth="1"/>
    <col min="5645" max="5888" width="9" style="131"/>
    <col min="5889" max="5891" width="9" style="131" customWidth="1"/>
    <col min="5892" max="5900" width="11.7109375" style="131" customWidth="1"/>
    <col min="5901" max="6144" width="9" style="131"/>
    <col min="6145" max="6147" width="9" style="131" customWidth="1"/>
    <col min="6148" max="6156" width="11.7109375" style="131" customWidth="1"/>
    <col min="6157" max="6400" width="9" style="131"/>
    <col min="6401" max="6403" width="9" style="131" customWidth="1"/>
    <col min="6404" max="6412" width="11.7109375" style="131" customWidth="1"/>
    <col min="6413" max="6656" width="9" style="131"/>
    <col min="6657" max="6659" width="9" style="131" customWidth="1"/>
    <col min="6660" max="6668" width="11.7109375" style="131" customWidth="1"/>
    <col min="6669" max="6912" width="9" style="131"/>
    <col min="6913" max="6915" width="9" style="131" customWidth="1"/>
    <col min="6916" max="6924" width="11.7109375" style="131" customWidth="1"/>
    <col min="6925" max="7168" width="9" style="131"/>
    <col min="7169" max="7171" width="9" style="131" customWidth="1"/>
    <col min="7172" max="7180" width="11.7109375" style="131" customWidth="1"/>
    <col min="7181" max="7424" width="9" style="131"/>
    <col min="7425" max="7427" width="9" style="131" customWidth="1"/>
    <col min="7428" max="7436" width="11.7109375" style="131" customWidth="1"/>
    <col min="7437" max="7680" width="9" style="131"/>
    <col min="7681" max="7683" width="9" style="131" customWidth="1"/>
    <col min="7684" max="7692" width="11.7109375" style="131" customWidth="1"/>
    <col min="7693" max="7936" width="9" style="131"/>
    <col min="7937" max="7939" width="9" style="131" customWidth="1"/>
    <col min="7940" max="7948" width="11.7109375" style="131" customWidth="1"/>
    <col min="7949" max="8192" width="9" style="131"/>
    <col min="8193" max="8195" width="9" style="131" customWidth="1"/>
    <col min="8196" max="8204" width="11.7109375" style="131" customWidth="1"/>
    <col min="8205" max="8448" width="9" style="131"/>
    <col min="8449" max="8451" width="9" style="131" customWidth="1"/>
    <col min="8452" max="8460" width="11.7109375" style="131" customWidth="1"/>
    <col min="8461" max="8704" width="9" style="131"/>
    <col min="8705" max="8707" width="9" style="131" customWidth="1"/>
    <col min="8708" max="8716" width="11.7109375" style="131" customWidth="1"/>
    <col min="8717" max="8960" width="9" style="131"/>
    <col min="8961" max="8963" width="9" style="131" customWidth="1"/>
    <col min="8964" max="8972" width="11.7109375" style="131" customWidth="1"/>
    <col min="8973" max="9216" width="9" style="131"/>
    <col min="9217" max="9219" width="9" style="131" customWidth="1"/>
    <col min="9220" max="9228" width="11.7109375" style="131" customWidth="1"/>
    <col min="9229" max="9472" width="9" style="131"/>
    <col min="9473" max="9475" width="9" style="131" customWidth="1"/>
    <col min="9476" max="9484" width="11.7109375" style="131" customWidth="1"/>
    <col min="9485" max="9728" width="9" style="131"/>
    <col min="9729" max="9731" width="9" style="131" customWidth="1"/>
    <col min="9732" max="9740" width="11.7109375" style="131" customWidth="1"/>
    <col min="9741" max="9984" width="9" style="131"/>
    <col min="9985" max="9987" width="9" style="131" customWidth="1"/>
    <col min="9988" max="9996" width="11.7109375" style="131" customWidth="1"/>
    <col min="9997" max="10240" width="9" style="131"/>
    <col min="10241" max="10243" width="9" style="131" customWidth="1"/>
    <col min="10244" max="10252" width="11.7109375" style="131" customWidth="1"/>
    <col min="10253" max="10496" width="9" style="131"/>
    <col min="10497" max="10499" width="9" style="131" customWidth="1"/>
    <col min="10500" max="10508" width="11.7109375" style="131" customWidth="1"/>
    <col min="10509" max="10752" width="9" style="131"/>
    <col min="10753" max="10755" width="9" style="131" customWidth="1"/>
    <col min="10756" max="10764" width="11.7109375" style="131" customWidth="1"/>
    <col min="10765" max="11008" width="9" style="131"/>
    <col min="11009" max="11011" width="9" style="131" customWidth="1"/>
    <col min="11012" max="11020" width="11.7109375" style="131" customWidth="1"/>
    <col min="11021" max="11264" width="9" style="131"/>
    <col min="11265" max="11267" width="9" style="131" customWidth="1"/>
    <col min="11268" max="11276" width="11.7109375" style="131" customWidth="1"/>
    <col min="11277" max="11520" width="9" style="131"/>
    <col min="11521" max="11523" width="9" style="131" customWidth="1"/>
    <col min="11524" max="11532" width="11.7109375" style="131" customWidth="1"/>
    <col min="11533" max="11776" width="9" style="131"/>
    <col min="11777" max="11779" width="9" style="131" customWidth="1"/>
    <col min="11780" max="11788" width="11.7109375" style="131" customWidth="1"/>
    <col min="11789" max="12032" width="9" style="131"/>
    <col min="12033" max="12035" width="9" style="131" customWidth="1"/>
    <col min="12036" max="12044" width="11.7109375" style="131" customWidth="1"/>
    <col min="12045" max="12288" width="9" style="131"/>
    <col min="12289" max="12291" width="9" style="131" customWidth="1"/>
    <col min="12292" max="12300" width="11.7109375" style="131" customWidth="1"/>
    <col min="12301" max="12544" width="9" style="131"/>
    <col min="12545" max="12547" width="9" style="131" customWidth="1"/>
    <col min="12548" max="12556" width="11.7109375" style="131" customWidth="1"/>
    <col min="12557" max="12800" width="9" style="131"/>
    <col min="12801" max="12803" width="9" style="131" customWidth="1"/>
    <col min="12804" max="12812" width="11.7109375" style="131" customWidth="1"/>
    <col min="12813" max="13056" width="9" style="131"/>
    <col min="13057" max="13059" width="9" style="131" customWidth="1"/>
    <col min="13060" max="13068" width="11.7109375" style="131" customWidth="1"/>
    <col min="13069" max="13312" width="9" style="131"/>
    <col min="13313" max="13315" width="9" style="131" customWidth="1"/>
    <col min="13316" max="13324" width="11.7109375" style="131" customWidth="1"/>
    <col min="13325" max="13568" width="9" style="131"/>
    <col min="13569" max="13571" width="9" style="131" customWidth="1"/>
    <col min="13572" max="13580" width="11.7109375" style="131" customWidth="1"/>
    <col min="13581" max="13824" width="9" style="131"/>
    <col min="13825" max="13827" width="9" style="131" customWidth="1"/>
    <col min="13828" max="13836" width="11.7109375" style="131" customWidth="1"/>
    <col min="13837" max="14080" width="9" style="131"/>
    <col min="14081" max="14083" width="9" style="131" customWidth="1"/>
    <col min="14084" max="14092" width="11.7109375" style="131" customWidth="1"/>
    <col min="14093" max="14336" width="9" style="131"/>
    <col min="14337" max="14339" width="9" style="131" customWidth="1"/>
    <col min="14340" max="14348" width="11.7109375" style="131" customWidth="1"/>
    <col min="14349" max="14592" width="9" style="131"/>
    <col min="14593" max="14595" width="9" style="131" customWidth="1"/>
    <col min="14596" max="14604" width="11.7109375" style="131" customWidth="1"/>
    <col min="14605" max="14848" width="9" style="131"/>
    <col min="14849" max="14851" width="9" style="131" customWidth="1"/>
    <col min="14852" max="14860" width="11.7109375" style="131" customWidth="1"/>
    <col min="14861" max="15104" width="9" style="131"/>
    <col min="15105" max="15107" width="9" style="131" customWidth="1"/>
    <col min="15108" max="15116" width="11.7109375" style="131" customWidth="1"/>
    <col min="15117" max="15360" width="9" style="131"/>
    <col min="15361" max="15363" width="9" style="131" customWidth="1"/>
    <col min="15364" max="15372" width="11.7109375" style="131" customWidth="1"/>
    <col min="15373" max="15616" width="9" style="131"/>
    <col min="15617" max="15619" width="9" style="131" customWidth="1"/>
    <col min="15620" max="15628" width="11.7109375" style="131" customWidth="1"/>
    <col min="15629" max="15872" width="9" style="131"/>
    <col min="15873" max="15875" width="9" style="131" customWidth="1"/>
    <col min="15876" max="15884" width="11.7109375" style="131" customWidth="1"/>
    <col min="15885" max="16128" width="9" style="131"/>
    <col min="16129" max="16131" width="9" style="131" customWidth="1"/>
    <col min="16132" max="16140" width="11.7109375" style="131" customWidth="1"/>
    <col min="16141" max="16384" width="9" style="131"/>
  </cols>
  <sheetData>
    <row r="1" spans="1:12" ht="13.5" customHeight="1" thickBot="1" x14ac:dyDescent="0.25">
      <c r="A1" s="465" t="s">
        <v>128</v>
      </c>
      <c r="B1" s="466"/>
      <c r="C1" s="467"/>
      <c r="D1" s="474" t="s">
        <v>129</v>
      </c>
      <c r="E1" s="475"/>
      <c r="F1" s="476"/>
      <c r="G1" s="475" t="s">
        <v>130</v>
      </c>
      <c r="H1" s="475"/>
      <c r="I1" s="476"/>
      <c r="J1" s="475" t="s">
        <v>131</v>
      </c>
      <c r="K1" s="475"/>
      <c r="L1" s="476"/>
    </row>
    <row r="2" spans="1:12" ht="13.5" customHeight="1" x14ac:dyDescent="0.2">
      <c r="A2" s="468"/>
      <c r="B2" s="469"/>
      <c r="C2" s="470"/>
      <c r="D2" s="471" t="s">
        <v>132</v>
      </c>
      <c r="E2" s="472"/>
      <c r="F2" s="473"/>
      <c r="G2" s="477" t="s">
        <v>133</v>
      </c>
      <c r="H2" s="478"/>
      <c r="I2" s="479"/>
      <c r="J2" s="477" t="s">
        <v>133</v>
      </c>
      <c r="K2" s="478"/>
      <c r="L2" s="479"/>
    </row>
    <row r="3" spans="1:12" ht="13.5" customHeight="1" x14ac:dyDescent="0.2">
      <c r="A3" s="471"/>
      <c r="B3" s="472"/>
      <c r="C3" s="473"/>
      <c r="D3" s="132">
        <v>2014</v>
      </c>
      <c r="E3" s="133">
        <v>2015</v>
      </c>
      <c r="F3" s="134" t="s">
        <v>134</v>
      </c>
      <c r="G3" s="132">
        <v>2014</v>
      </c>
      <c r="H3" s="133">
        <v>2015</v>
      </c>
      <c r="I3" s="135" t="s">
        <v>134</v>
      </c>
      <c r="J3" s="132">
        <v>2014</v>
      </c>
      <c r="K3" s="133">
        <v>2015</v>
      </c>
      <c r="L3" s="135" t="s">
        <v>134</v>
      </c>
    </row>
    <row r="4" spans="1:12" ht="13.5" customHeight="1" x14ac:dyDescent="0.2">
      <c r="A4" s="480" t="s">
        <v>135</v>
      </c>
      <c r="B4" s="481"/>
      <c r="C4" s="481"/>
      <c r="D4" s="145"/>
      <c r="E4" s="137"/>
      <c r="F4" s="168"/>
      <c r="G4" s="169"/>
      <c r="H4" s="137"/>
      <c r="I4" s="168"/>
      <c r="J4" s="169"/>
      <c r="K4" s="137"/>
      <c r="L4" s="168"/>
    </row>
    <row r="5" spans="1:12" ht="13.5" customHeight="1" x14ac:dyDescent="0.2">
      <c r="A5" s="480" t="s">
        <v>136</v>
      </c>
      <c r="B5" s="481"/>
      <c r="C5" s="481"/>
      <c r="D5" s="145"/>
      <c r="E5" s="137"/>
      <c r="F5" s="138"/>
      <c r="G5" s="145"/>
      <c r="H5" s="137"/>
      <c r="I5" s="138"/>
      <c r="J5" s="166"/>
      <c r="K5" s="137"/>
      <c r="L5" s="138"/>
    </row>
    <row r="6" spans="1:12" ht="13.5" customHeight="1" x14ac:dyDescent="0.2">
      <c r="A6" s="480" t="s">
        <v>137</v>
      </c>
      <c r="B6" s="481"/>
      <c r="C6" s="481"/>
      <c r="D6" s="145"/>
      <c r="E6" s="137"/>
      <c r="F6" s="138"/>
      <c r="G6" s="145"/>
      <c r="H6" s="137"/>
      <c r="I6" s="138"/>
      <c r="J6" s="166"/>
      <c r="K6" s="137"/>
      <c r="L6" s="138"/>
    </row>
    <row r="7" spans="1:12" ht="13.5" customHeight="1" x14ac:dyDescent="0.2">
      <c r="A7" s="463" t="s">
        <v>138</v>
      </c>
      <c r="B7" s="464"/>
      <c r="C7" s="464"/>
      <c r="D7" s="145"/>
      <c r="E7" s="137"/>
      <c r="F7" s="138"/>
      <c r="G7" s="145"/>
      <c r="H7" s="137"/>
      <c r="I7" s="138"/>
      <c r="J7" s="166"/>
      <c r="K7" s="137"/>
      <c r="L7" s="138"/>
    </row>
    <row r="8" spans="1:12" ht="13.5" customHeight="1" x14ac:dyDescent="0.2">
      <c r="A8" s="463" t="s">
        <v>139</v>
      </c>
      <c r="B8" s="464"/>
      <c r="C8" s="464"/>
      <c r="D8" s="145"/>
      <c r="E8" s="137"/>
      <c r="F8" s="138"/>
      <c r="G8" s="145"/>
      <c r="H8" s="137"/>
      <c r="I8" s="138"/>
      <c r="J8" s="166"/>
      <c r="K8" s="137"/>
      <c r="L8" s="138"/>
    </row>
    <row r="9" spans="1:12" ht="13.5" customHeight="1" x14ac:dyDescent="0.2">
      <c r="A9" s="463" t="s">
        <v>140</v>
      </c>
      <c r="B9" s="464"/>
      <c r="C9" s="464"/>
      <c r="D9" s="145"/>
      <c r="E9" s="137"/>
      <c r="F9" s="138"/>
      <c r="G9" s="145"/>
      <c r="H9" s="137"/>
      <c r="I9" s="138"/>
      <c r="J9" s="166"/>
      <c r="K9" s="137"/>
      <c r="L9" s="138"/>
    </row>
    <row r="10" spans="1:12" ht="13.5" customHeight="1" x14ac:dyDescent="0.2">
      <c r="A10" s="463" t="s">
        <v>141</v>
      </c>
      <c r="B10" s="464"/>
      <c r="C10" s="464"/>
      <c r="D10" s="145"/>
      <c r="E10" s="137"/>
      <c r="F10" s="138"/>
      <c r="G10" s="145"/>
      <c r="H10" s="137"/>
      <c r="I10" s="138"/>
      <c r="J10" s="166"/>
      <c r="K10" s="137"/>
      <c r="L10" s="138"/>
    </row>
    <row r="11" spans="1:12" ht="13.5" customHeight="1" x14ac:dyDescent="0.2">
      <c r="A11" s="463" t="s">
        <v>142</v>
      </c>
      <c r="B11" s="464"/>
      <c r="C11" s="464"/>
      <c r="D11" s="145"/>
      <c r="E11" s="137"/>
      <c r="F11" s="138"/>
      <c r="G11" s="145"/>
      <c r="H11" s="137"/>
      <c r="I11" s="138"/>
      <c r="J11" s="166"/>
      <c r="K11" s="137"/>
      <c r="L11" s="138"/>
    </row>
    <row r="12" spans="1:12" ht="13.5" customHeight="1" x14ac:dyDescent="0.2">
      <c r="A12" s="463" t="s">
        <v>143</v>
      </c>
      <c r="B12" s="464"/>
      <c r="C12" s="464"/>
      <c r="D12" s="145">
        <v>10244</v>
      </c>
      <c r="E12" s="137">
        <v>10622</v>
      </c>
      <c r="F12" s="138">
        <f>E12/D12</f>
        <v>1.0368996485747755</v>
      </c>
      <c r="G12" s="145">
        <v>39261</v>
      </c>
      <c r="H12" s="137">
        <v>41298</v>
      </c>
      <c r="I12" s="138">
        <f>H12/G12</f>
        <v>1.0518835485596394</v>
      </c>
      <c r="J12" s="166">
        <v>13322194</v>
      </c>
      <c r="K12" s="137">
        <v>13644979</v>
      </c>
      <c r="L12" s="138">
        <f>K12/J12</f>
        <v>1.0242291172159781</v>
      </c>
    </row>
    <row r="13" spans="1:12" ht="13.5" customHeight="1" x14ac:dyDescent="0.2">
      <c r="A13" s="463" t="s">
        <v>144</v>
      </c>
      <c r="B13" s="464"/>
      <c r="C13" s="464"/>
      <c r="D13" s="145">
        <v>11055</v>
      </c>
      <c r="E13" s="137">
        <v>11554</v>
      </c>
      <c r="F13" s="138">
        <f>E13/D13</f>
        <v>1.045137946630484</v>
      </c>
      <c r="G13" s="145">
        <v>50093</v>
      </c>
      <c r="H13" s="137">
        <v>51887</v>
      </c>
      <c r="I13" s="138">
        <f>H13/G13</f>
        <v>1.0358133870999939</v>
      </c>
      <c r="J13" s="166">
        <v>11372816</v>
      </c>
      <c r="K13" s="137">
        <v>12091080</v>
      </c>
      <c r="L13" s="138">
        <f>K13/J13</f>
        <v>1.0631562139051578</v>
      </c>
    </row>
    <row r="14" spans="1:12" ht="13.5" customHeight="1" x14ac:dyDescent="0.2">
      <c r="A14" s="463" t="s">
        <v>145</v>
      </c>
      <c r="B14" s="464"/>
      <c r="C14" s="464"/>
      <c r="D14" s="145">
        <v>0</v>
      </c>
      <c r="E14" s="137">
        <v>0</v>
      </c>
      <c r="F14" s="138"/>
      <c r="G14" s="145">
        <v>0</v>
      </c>
      <c r="H14" s="137">
        <v>0</v>
      </c>
      <c r="I14" s="138"/>
      <c r="J14" s="166">
        <v>0</v>
      </c>
      <c r="K14" s="137">
        <v>0</v>
      </c>
      <c r="L14" s="138"/>
    </row>
    <row r="15" spans="1:12" ht="13.5" customHeight="1" x14ac:dyDescent="0.2">
      <c r="A15" s="463" t="s">
        <v>146</v>
      </c>
      <c r="B15" s="464"/>
      <c r="C15" s="464"/>
      <c r="D15" s="145">
        <v>12078</v>
      </c>
      <c r="E15" s="137">
        <v>12033</v>
      </c>
      <c r="F15" s="138">
        <f>E15/D15</f>
        <v>0.99627421758569301</v>
      </c>
      <c r="G15" s="145">
        <v>121444</v>
      </c>
      <c r="H15" s="137">
        <v>129926</v>
      </c>
      <c r="I15" s="138">
        <f>H15/G15</f>
        <v>1.0698428905503772</v>
      </c>
      <c r="J15" s="166">
        <v>20230966</v>
      </c>
      <c r="K15" s="137">
        <v>20993814</v>
      </c>
      <c r="L15" s="138">
        <f>K15/J15</f>
        <v>1.03770694884268</v>
      </c>
    </row>
    <row r="16" spans="1:12" ht="13.5" customHeight="1" x14ac:dyDescent="0.2">
      <c r="A16" s="463" t="s">
        <v>147</v>
      </c>
      <c r="B16" s="464"/>
      <c r="C16" s="464"/>
      <c r="D16" s="145">
        <v>15892</v>
      </c>
      <c r="E16" s="137">
        <v>15515</v>
      </c>
      <c r="F16" s="138">
        <f>E16/D16</f>
        <v>0.97627737226277367</v>
      </c>
      <c r="G16" s="145">
        <v>59016</v>
      </c>
      <c r="H16" s="137">
        <v>73844</v>
      </c>
      <c r="I16" s="138">
        <f>H16/G16</f>
        <v>1.2512538972482039</v>
      </c>
      <c r="J16" s="166">
        <v>18012438</v>
      </c>
      <c r="K16" s="137">
        <v>19200017</v>
      </c>
      <c r="L16" s="138">
        <f>K16/J16</f>
        <v>1.0659310527536583</v>
      </c>
    </row>
    <row r="17" spans="1:12" ht="13.5" customHeight="1" x14ac:dyDescent="0.2">
      <c r="A17" s="463" t="s">
        <v>148</v>
      </c>
      <c r="B17" s="464"/>
      <c r="C17" s="482"/>
      <c r="D17" s="145">
        <v>1537</v>
      </c>
      <c r="E17" s="137">
        <v>1535</v>
      </c>
      <c r="F17" s="138">
        <f>E17/D17</f>
        <v>0.99869876382563438</v>
      </c>
      <c r="G17" s="145">
        <v>21645</v>
      </c>
      <c r="H17" s="137">
        <v>20651</v>
      </c>
      <c r="I17" s="138">
        <f>H17/G17</f>
        <v>0.9540771540771541</v>
      </c>
      <c r="J17" s="166">
        <v>7114923</v>
      </c>
      <c r="K17" s="137">
        <v>6857179</v>
      </c>
      <c r="L17" s="138">
        <f>K17/J17</f>
        <v>0.9637741687436393</v>
      </c>
    </row>
    <row r="18" spans="1:12" ht="13.5" customHeight="1" x14ac:dyDescent="0.2">
      <c r="A18" s="463" t="s">
        <v>149</v>
      </c>
      <c r="B18" s="464"/>
      <c r="C18" s="464"/>
      <c r="D18" s="145">
        <v>6916</v>
      </c>
      <c r="E18" s="137">
        <v>7149</v>
      </c>
      <c r="F18" s="138">
        <f>E18/D18</f>
        <v>1.03368999421631</v>
      </c>
      <c r="G18" s="145">
        <v>39111</v>
      </c>
      <c r="H18" s="137">
        <v>48165</v>
      </c>
      <c r="I18" s="138">
        <f>H18/G18</f>
        <v>1.2314949758379996</v>
      </c>
      <c r="J18" s="166">
        <v>7509840</v>
      </c>
      <c r="K18" s="137">
        <v>11721897</v>
      </c>
      <c r="L18" s="138">
        <f>K18/J18</f>
        <v>1.5608717362819979</v>
      </c>
    </row>
    <row r="19" spans="1:12" ht="13.5" customHeight="1" x14ac:dyDescent="0.2">
      <c r="A19" s="463" t="s">
        <v>150</v>
      </c>
      <c r="B19" s="464"/>
      <c r="C19" s="464"/>
      <c r="D19" s="145">
        <v>1746</v>
      </c>
      <c r="E19" s="137">
        <v>1790</v>
      </c>
      <c r="F19" s="138">
        <f>E19/D19</f>
        <v>1.0252004581901488</v>
      </c>
      <c r="G19" s="145">
        <v>5766</v>
      </c>
      <c r="H19" s="137">
        <v>5840</v>
      </c>
      <c r="I19" s="138">
        <f>H19/G19</f>
        <v>1.0128338536246966</v>
      </c>
      <c r="J19" s="166">
        <v>2618482</v>
      </c>
      <c r="K19" s="137">
        <v>2641237</v>
      </c>
      <c r="L19" s="138">
        <f>K19/J19</f>
        <v>1.0086901494835558</v>
      </c>
    </row>
    <row r="20" spans="1:12" ht="13.5" customHeight="1" x14ac:dyDescent="0.2">
      <c r="A20" s="463" t="s">
        <v>151</v>
      </c>
      <c r="B20" s="464"/>
      <c r="C20" s="464"/>
      <c r="D20" s="145">
        <v>0</v>
      </c>
      <c r="E20" s="137">
        <v>0</v>
      </c>
      <c r="F20" s="138"/>
      <c r="G20" s="145">
        <v>0</v>
      </c>
      <c r="H20" s="137">
        <v>0</v>
      </c>
      <c r="I20" s="138"/>
      <c r="J20" s="166">
        <v>0</v>
      </c>
      <c r="K20" s="137">
        <v>0</v>
      </c>
      <c r="L20" s="138"/>
    </row>
    <row r="21" spans="1:12" ht="13.5" customHeight="1" x14ac:dyDescent="0.2">
      <c r="A21" s="463" t="s">
        <v>152</v>
      </c>
      <c r="B21" s="464"/>
      <c r="C21" s="464"/>
      <c r="D21" s="145">
        <v>11793</v>
      </c>
      <c r="E21" s="137">
        <v>12159</v>
      </c>
      <c r="F21" s="138">
        <f>E21/D21</f>
        <v>1.0310353599592978</v>
      </c>
      <c r="G21" s="145">
        <v>42587</v>
      </c>
      <c r="H21" s="137">
        <v>40989</v>
      </c>
      <c r="I21" s="138">
        <f>H21/G21</f>
        <v>0.96247681217272874</v>
      </c>
      <c r="J21" s="166">
        <v>14481101</v>
      </c>
      <c r="K21" s="137">
        <v>14241083</v>
      </c>
      <c r="L21" s="138">
        <f>K21/J21</f>
        <v>0.98342543153314099</v>
      </c>
    </row>
    <row r="22" spans="1:12" ht="13.5" customHeight="1" x14ac:dyDescent="0.2">
      <c r="A22" s="463" t="s">
        <v>153</v>
      </c>
      <c r="B22" s="464"/>
      <c r="C22" s="464"/>
      <c r="D22" s="145">
        <v>0</v>
      </c>
      <c r="E22" s="137">
        <v>0</v>
      </c>
      <c r="F22" s="138"/>
      <c r="G22" s="145">
        <v>0</v>
      </c>
      <c r="H22" s="137">
        <v>0</v>
      </c>
      <c r="I22" s="138"/>
      <c r="J22" s="166">
        <v>0</v>
      </c>
      <c r="K22" s="137">
        <v>0</v>
      </c>
      <c r="L22" s="138"/>
    </row>
    <row r="23" spans="1:12" ht="13.5" customHeight="1" x14ac:dyDescent="0.2">
      <c r="A23" s="463" t="s">
        <v>154</v>
      </c>
      <c r="B23" s="464"/>
      <c r="C23" s="464"/>
      <c r="D23" s="145">
        <v>17819</v>
      </c>
      <c r="E23" s="137">
        <v>17723</v>
      </c>
      <c r="F23" s="138">
        <f t="shared" ref="F23:F28" si="0">E23/D23</f>
        <v>0.99461249228351756</v>
      </c>
      <c r="G23" s="145">
        <v>151049</v>
      </c>
      <c r="H23" s="137">
        <v>152568</v>
      </c>
      <c r="I23" s="138">
        <f t="shared" ref="I23:I28" si="1">H23/G23</f>
        <v>1.0100563393335937</v>
      </c>
      <c r="J23" s="166">
        <v>27401484</v>
      </c>
      <c r="K23" s="137">
        <v>27524453</v>
      </c>
      <c r="L23" s="138">
        <f t="shared" ref="L23:L28" si="2">K23/J23</f>
        <v>1.0044876766528412</v>
      </c>
    </row>
    <row r="24" spans="1:12" ht="13.5" customHeight="1" x14ac:dyDescent="0.2">
      <c r="A24" s="489" t="s">
        <v>155</v>
      </c>
      <c r="B24" s="490"/>
      <c r="C24" s="491"/>
      <c r="D24" s="145">
        <v>0</v>
      </c>
      <c r="E24" s="137">
        <v>0</v>
      </c>
      <c r="F24" s="138"/>
      <c r="G24" s="145">
        <v>0</v>
      </c>
      <c r="H24" s="137">
        <v>0</v>
      </c>
      <c r="I24" s="138"/>
      <c r="J24" s="166">
        <v>0</v>
      </c>
      <c r="K24" s="137">
        <v>0</v>
      </c>
      <c r="L24" s="138"/>
    </row>
    <row r="25" spans="1:12" ht="13.5" customHeight="1" x14ac:dyDescent="0.2">
      <c r="A25" s="463" t="s">
        <v>156</v>
      </c>
      <c r="B25" s="464"/>
      <c r="C25" s="464"/>
      <c r="D25" s="145">
        <v>25304</v>
      </c>
      <c r="E25" s="137">
        <v>27475</v>
      </c>
      <c r="F25" s="138">
        <f t="shared" si="0"/>
        <v>1.0857967119822953</v>
      </c>
      <c r="G25" s="145">
        <v>77166</v>
      </c>
      <c r="H25" s="137">
        <v>67037</v>
      </c>
      <c r="I25" s="138">
        <f t="shared" si="1"/>
        <v>0.8687375268900811</v>
      </c>
      <c r="J25" s="166">
        <v>16084068</v>
      </c>
      <c r="K25" s="137">
        <v>14072360</v>
      </c>
      <c r="L25" s="138">
        <f t="shared" si="2"/>
        <v>0.87492542309569943</v>
      </c>
    </row>
    <row r="26" spans="1:12" ht="13.5" customHeight="1" x14ac:dyDescent="0.2">
      <c r="A26" s="463" t="s">
        <v>157</v>
      </c>
      <c r="B26" s="464"/>
      <c r="C26" s="464"/>
      <c r="D26" s="145">
        <v>16302</v>
      </c>
      <c r="E26" s="137">
        <v>18117</v>
      </c>
      <c r="F26" s="138">
        <f t="shared" si="0"/>
        <v>1.1113360323886641</v>
      </c>
      <c r="G26" s="145">
        <v>110058</v>
      </c>
      <c r="H26" s="137">
        <v>121238</v>
      </c>
      <c r="I26" s="138">
        <f t="shared" si="1"/>
        <v>1.101582801795417</v>
      </c>
      <c r="J26" s="166">
        <v>14517662</v>
      </c>
      <c r="K26" s="137">
        <v>15812391</v>
      </c>
      <c r="L26" s="138">
        <f t="shared" si="2"/>
        <v>1.0891830240985085</v>
      </c>
    </row>
    <row r="27" spans="1:12" ht="13.5" customHeight="1" x14ac:dyDescent="0.2">
      <c r="A27" s="463" t="s">
        <v>158</v>
      </c>
      <c r="B27" s="464"/>
      <c r="C27" s="464"/>
      <c r="D27" s="145">
        <v>221</v>
      </c>
      <c r="E27" s="137">
        <v>158</v>
      </c>
      <c r="F27" s="138">
        <f t="shared" si="0"/>
        <v>0.71493212669683259</v>
      </c>
      <c r="G27" s="145">
        <v>1117</v>
      </c>
      <c r="H27" s="137">
        <v>747</v>
      </c>
      <c r="I27" s="138">
        <f t="shared" si="1"/>
        <v>0.66875559534467321</v>
      </c>
      <c r="J27" s="166">
        <v>284525</v>
      </c>
      <c r="K27" s="137">
        <v>195915</v>
      </c>
      <c r="L27" s="138">
        <f t="shared" si="2"/>
        <v>0.68856866707670683</v>
      </c>
    </row>
    <row r="28" spans="1:12" ht="13.5" customHeight="1" x14ac:dyDescent="0.2">
      <c r="A28" s="463" t="s">
        <v>159</v>
      </c>
      <c r="B28" s="464"/>
      <c r="C28" s="464"/>
      <c r="D28" s="141">
        <v>6308</v>
      </c>
      <c r="E28" s="142">
        <v>7080</v>
      </c>
      <c r="F28" s="138">
        <f t="shared" si="0"/>
        <v>1.1223842739378567</v>
      </c>
      <c r="G28" s="170">
        <v>15095</v>
      </c>
      <c r="H28" s="142">
        <v>16850</v>
      </c>
      <c r="I28" s="138">
        <f t="shared" si="1"/>
        <v>1.1162636634647234</v>
      </c>
      <c r="J28" s="171">
        <v>6906730</v>
      </c>
      <c r="K28" s="142">
        <v>7323490</v>
      </c>
      <c r="L28" s="138">
        <f t="shared" si="2"/>
        <v>1.0603411455203837</v>
      </c>
    </row>
    <row r="29" spans="1:12" ht="13.5" customHeight="1" x14ac:dyDescent="0.2">
      <c r="A29" s="139"/>
      <c r="B29" s="140"/>
      <c r="C29" s="140"/>
      <c r="D29" s="141"/>
      <c r="E29" s="142"/>
      <c r="F29" s="143"/>
      <c r="G29" s="144"/>
      <c r="H29" s="142"/>
      <c r="I29" s="143"/>
      <c r="J29" s="144"/>
      <c r="K29" s="142"/>
      <c r="L29" s="143"/>
    </row>
    <row r="30" spans="1:12" ht="13.5" customHeight="1" x14ac:dyDescent="0.2">
      <c r="A30" s="463" t="s">
        <v>160</v>
      </c>
      <c r="B30" s="464"/>
      <c r="C30" s="482"/>
      <c r="D30" s="145">
        <f>SUM(D4:D28)-D27-D28</f>
        <v>130686</v>
      </c>
      <c r="E30" s="137">
        <f>SUM(E4:E28)-E27-E28</f>
        <v>135672</v>
      </c>
      <c r="F30" s="138">
        <f>E30/D30</f>
        <v>1.0381525182498508</v>
      </c>
      <c r="G30" s="145">
        <f>SUM(G4:G28)-G27-G28</f>
        <v>717196</v>
      </c>
      <c r="H30" s="137">
        <f>SUM(H4:H28)-H27-H28</f>
        <v>753443</v>
      </c>
      <c r="I30" s="138">
        <f>H30/G30</f>
        <v>1.0505398803116581</v>
      </c>
      <c r="J30" s="145">
        <f>SUM(J4:J28)-J27-J28</f>
        <v>152665974</v>
      </c>
      <c r="K30" s="137">
        <f>SUM(K4:K28)-K27-K28</f>
        <v>158800490</v>
      </c>
      <c r="L30" s="138">
        <f>K30/J30</f>
        <v>1.0401826015271747</v>
      </c>
    </row>
    <row r="31" spans="1:12" ht="13.5" customHeight="1" thickBot="1" x14ac:dyDescent="0.25">
      <c r="A31" s="146"/>
      <c r="B31" s="147"/>
      <c r="C31" s="147"/>
      <c r="D31" s="148"/>
      <c r="E31" s="149"/>
      <c r="F31" s="150"/>
      <c r="G31" s="151"/>
      <c r="H31" s="149"/>
      <c r="I31" s="150"/>
      <c r="J31" s="151"/>
      <c r="K31" s="149"/>
      <c r="L31" s="150"/>
    </row>
    <row r="32" spans="1:12" ht="13.5" customHeight="1" thickBot="1" x14ac:dyDescent="0.25">
      <c r="A32" s="152" t="s">
        <v>161</v>
      </c>
      <c r="B32" s="153"/>
      <c r="C32" s="153"/>
      <c r="D32" s="154"/>
      <c r="E32" s="155"/>
      <c r="F32" s="156"/>
      <c r="G32" s="154"/>
      <c r="H32" s="155"/>
      <c r="I32" s="156"/>
      <c r="J32" s="154"/>
      <c r="K32" s="155"/>
      <c r="L32" s="156"/>
    </row>
    <row r="33" spans="1:12" ht="13.5" customHeight="1" thickBot="1" x14ac:dyDescent="0.25">
      <c r="A33" s="157" t="s">
        <v>162</v>
      </c>
      <c r="B33" s="158"/>
      <c r="C33" s="158"/>
      <c r="D33" s="154">
        <f>D27+D28</f>
        <v>6529</v>
      </c>
      <c r="E33" s="155">
        <f>E27+E28</f>
        <v>7238</v>
      </c>
      <c r="F33" s="156">
        <f>E33/D33</f>
        <v>1.1085924337570838</v>
      </c>
      <c r="G33" s="154">
        <f>G27+G28</f>
        <v>16212</v>
      </c>
      <c r="H33" s="155">
        <f>H27+H28</f>
        <v>17597</v>
      </c>
      <c r="I33" s="156">
        <f>H33/G33</f>
        <v>1.085430545275105</v>
      </c>
      <c r="J33" s="154">
        <f>J27+J28</f>
        <v>7191255</v>
      </c>
      <c r="K33" s="155">
        <f>K27+K28</f>
        <v>7519405</v>
      </c>
      <c r="L33" s="156">
        <f>K33/J33</f>
        <v>1.045631812527855</v>
      </c>
    </row>
    <row r="34" spans="1:12" ht="13.5" customHeight="1" x14ac:dyDescent="0.2">
      <c r="A34" s="483"/>
      <c r="B34" s="484"/>
      <c r="C34" s="485"/>
      <c r="D34" s="159"/>
      <c r="E34" s="160"/>
      <c r="F34" s="161"/>
      <c r="G34" s="159"/>
      <c r="H34" s="160"/>
      <c r="I34" s="161"/>
      <c r="J34" s="159"/>
      <c r="K34" s="160"/>
      <c r="L34" s="161"/>
    </row>
    <row r="35" spans="1:12" ht="13.5" customHeight="1" thickBot="1" x14ac:dyDescent="0.25">
      <c r="A35" s="486" t="s">
        <v>165</v>
      </c>
      <c r="B35" s="487"/>
      <c r="C35" s="488"/>
      <c r="D35" s="162">
        <f>SUM(D30:D33)</f>
        <v>137215</v>
      </c>
      <c r="E35" s="163">
        <f>SUM(E30:E33)</f>
        <v>142910</v>
      </c>
      <c r="F35" s="164">
        <f>E35/D35</f>
        <v>1.041504208723536</v>
      </c>
      <c r="G35" s="163">
        <f>SUM(G30:G33)</f>
        <v>733408</v>
      </c>
      <c r="H35" s="163">
        <f>SUM(H30:H33)</f>
        <v>771040</v>
      </c>
      <c r="I35" s="164">
        <f>H35/G35</f>
        <v>1.0513111392294603</v>
      </c>
      <c r="J35" s="163">
        <f>SUM(J30:J33)</f>
        <v>159857229</v>
      </c>
      <c r="K35" s="163">
        <f>SUM(K30:K33)</f>
        <v>166319895</v>
      </c>
      <c r="L35" s="164">
        <f>K35/J35</f>
        <v>1.0404277369276806</v>
      </c>
    </row>
  </sheetData>
  <mergeCells count="35">
    <mergeCell ref="A28:C28"/>
    <mergeCell ref="A30:C30"/>
    <mergeCell ref="A34:C34"/>
    <mergeCell ref="A35:C35"/>
    <mergeCell ref="A22:C22"/>
    <mergeCell ref="A23:C23"/>
    <mergeCell ref="A24:C24"/>
    <mergeCell ref="A25:C25"/>
    <mergeCell ref="A26:C26"/>
    <mergeCell ref="A27:C27"/>
    <mergeCell ref="A21:C21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9:C9"/>
    <mergeCell ref="A1:C3"/>
    <mergeCell ref="D1:F1"/>
    <mergeCell ref="G1:I1"/>
    <mergeCell ref="J1:L1"/>
    <mergeCell ref="D2:F2"/>
    <mergeCell ref="G2:I2"/>
    <mergeCell ref="J2:L2"/>
    <mergeCell ref="A4:C4"/>
    <mergeCell ref="A5:C5"/>
    <mergeCell ref="A6:C6"/>
    <mergeCell ref="A7:C7"/>
    <mergeCell ref="A8:C8"/>
  </mergeCells>
  <conditionalFormatting sqref="A25:C65533 A1:A24 B1:C23 D1:IV65533">
    <cfRule type="cellIs" dxfId="31" priority="7" stopIfTrue="1" operator="equal">
      <formula>0</formula>
    </cfRule>
  </conditionalFormatting>
  <printOptions horizontalCentered="1" verticalCentered="1"/>
  <pageMargins left="0.70866141732283472" right="0.74803149606299213" top="0.98425196850393704" bottom="0.39370078740157483" header="0.31496062992125984" footer="0.19685039370078741"/>
  <pageSetup paperSize="9" scale="95" orientation="landscape" horizontalDpi="4294967294" r:id="rId1"/>
  <headerFooter alignWithMargins="0">
    <oddHeader>&amp;CA szervezeti egységek
 Teljesítmény mutatóinak összehasonlító táblája
2014/2015. évben (Visegrádi utcai szakrendelő)&amp;R1/b. sz. melléklet</oddHeader>
    <oddFooter>&amp;L&amp;D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workbookViewId="0">
      <pane xSplit="1" ySplit="2" topLeftCell="B3" activePane="bottomRight" state="frozen"/>
      <selection activeCell="J24" sqref="J24"/>
      <selection pane="topRight" activeCell="J24" sqref="J24"/>
      <selection pane="bottomLeft" activeCell="J24" sqref="J24"/>
      <selection pane="bottomRight" activeCell="K2" sqref="K2"/>
    </sheetView>
  </sheetViews>
  <sheetFormatPr defaultRowHeight="13.5" customHeight="1" x14ac:dyDescent="0.2"/>
  <cols>
    <col min="1" max="1" width="23.7109375" style="172" customWidth="1"/>
    <col min="2" max="3" width="13.7109375" style="172" customWidth="1"/>
    <col min="4" max="4" width="9.7109375" style="172" customWidth="1"/>
    <col min="5" max="6" width="13.7109375" style="172" customWidth="1"/>
    <col min="7" max="7" width="9.7109375" style="172" customWidth="1"/>
    <col min="8" max="9" width="13.7109375" style="172" customWidth="1"/>
    <col min="10" max="10" width="9.7109375" style="172" customWidth="1"/>
    <col min="11" max="11" width="9.140625" style="172"/>
    <col min="12" max="14" width="9.140625" style="173"/>
    <col min="15" max="250" width="9.140625" style="172"/>
    <col min="251" max="251" width="21.42578125" style="172" customWidth="1"/>
    <col min="252" max="253" width="13.7109375" style="172" customWidth="1"/>
    <col min="254" max="254" width="9.7109375" style="172" customWidth="1"/>
    <col min="255" max="256" width="13.7109375" style="172" customWidth="1"/>
    <col min="257" max="257" width="9.7109375" style="172" customWidth="1"/>
    <col min="258" max="259" width="13.7109375" style="172" customWidth="1"/>
    <col min="260" max="260" width="9.7109375" style="172" customWidth="1"/>
    <col min="261" max="506" width="9.140625" style="172"/>
    <col min="507" max="507" width="21.42578125" style="172" customWidth="1"/>
    <col min="508" max="509" width="13.7109375" style="172" customWidth="1"/>
    <col min="510" max="510" width="9.7109375" style="172" customWidth="1"/>
    <col min="511" max="512" width="13.7109375" style="172" customWidth="1"/>
    <col min="513" max="513" width="9.7109375" style="172" customWidth="1"/>
    <col min="514" max="515" width="13.7109375" style="172" customWidth="1"/>
    <col min="516" max="516" width="9.7109375" style="172" customWidth="1"/>
    <col min="517" max="762" width="9.140625" style="172"/>
    <col min="763" max="763" width="21.42578125" style="172" customWidth="1"/>
    <col min="764" max="765" width="13.7109375" style="172" customWidth="1"/>
    <col min="766" max="766" width="9.7109375" style="172" customWidth="1"/>
    <col min="767" max="768" width="13.7109375" style="172" customWidth="1"/>
    <col min="769" max="769" width="9.7109375" style="172" customWidth="1"/>
    <col min="770" max="771" width="13.7109375" style="172" customWidth="1"/>
    <col min="772" max="772" width="9.7109375" style="172" customWidth="1"/>
    <col min="773" max="1018" width="9.140625" style="172"/>
    <col min="1019" max="1019" width="21.42578125" style="172" customWidth="1"/>
    <col min="1020" max="1021" width="13.7109375" style="172" customWidth="1"/>
    <col min="1022" max="1022" width="9.7109375" style="172" customWidth="1"/>
    <col min="1023" max="1024" width="13.7109375" style="172" customWidth="1"/>
    <col min="1025" max="1025" width="9.7109375" style="172" customWidth="1"/>
    <col min="1026" max="1027" width="13.7109375" style="172" customWidth="1"/>
    <col min="1028" max="1028" width="9.7109375" style="172" customWidth="1"/>
    <col min="1029" max="1274" width="9.140625" style="172"/>
    <col min="1275" max="1275" width="21.42578125" style="172" customWidth="1"/>
    <col min="1276" max="1277" width="13.7109375" style="172" customWidth="1"/>
    <col min="1278" max="1278" width="9.7109375" style="172" customWidth="1"/>
    <col min="1279" max="1280" width="13.7109375" style="172" customWidth="1"/>
    <col min="1281" max="1281" width="9.7109375" style="172" customWidth="1"/>
    <col min="1282" max="1283" width="13.7109375" style="172" customWidth="1"/>
    <col min="1284" max="1284" width="9.7109375" style="172" customWidth="1"/>
    <col min="1285" max="1530" width="9.140625" style="172"/>
    <col min="1531" max="1531" width="21.42578125" style="172" customWidth="1"/>
    <col min="1532" max="1533" width="13.7109375" style="172" customWidth="1"/>
    <col min="1534" max="1534" width="9.7109375" style="172" customWidth="1"/>
    <col min="1535" max="1536" width="13.7109375" style="172" customWidth="1"/>
    <col min="1537" max="1537" width="9.7109375" style="172" customWidth="1"/>
    <col min="1538" max="1539" width="13.7109375" style="172" customWidth="1"/>
    <col min="1540" max="1540" width="9.7109375" style="172" customWidth="1"/>
    <col min="1541" max="1786" width="9.140625" style="172"/>
    <col min="1787" max="1787" width="21.42578125" style="172" customWidth="1"/>
    <col min="1788" max="1789" width="13.7109375" style="172" customWidth="1"/>
    <col min="1790" max="1790" width="9.7109375" style="172" customWidth="1"/>
    <col min="1791" max="1792" width="13.7109375" style="172" customWidth="1"/>
    <col min="1793" max="1793" width="9.7109375" style="172" customWidth="1"/>
    <col min="1794" max="1795" width="13.7109375" style="172" customWidth="1"/>
    <col min="1796" max="1796" width="9.7109375" style="172" customWidth="1"/>
    <col min="1797" max="2042" width="9.140625" style="172"/>
    <col min="2043" max="2043" width="21.42578125" style="172" customWidth="1"/>
    <col min="2044" max="2045" width="13.7109375" style="172" customWidth="1"/>
    <col min="2046" max="2046" width="9.7109375" style="172" customWidth="1"/>
    <col min="2047" max="2048" width="13.7109375" style="172" customWidth="1"/>
    <col min="2049" max="2049" width="9.7109375" style="172" customWidth="1"/>
    <col min="2050" max="2051" width="13.7109375" style="172" customWidth="1"/>
    <col min="2052" max="2052" width="9.7109375" style="172" customWidth="1"/>
    <col min="2053" max="2298" width="9.140625" style="172"/>
    <col min="2299" max="2299" width="21.42578125" style="172" customWidth="1"/>
    <col min="2300" max="2301" width="13.7109375" style="172" customWidth="1"/>
    <col min="2302" max="2302" width="9.7109375" style="172" customWidth="1"/>
    <col min="2303" max="2304" width="13.7109375" style="172" customWidth="1"/>
    <col min="2305" max="2305" width="9.7109375" style="172" customWidth="1"/>
    <col min="2306" max="2307" width="13.7109375" style="172" customWidth="1"/>
    <col min="2308" max="2308" width="9.7109375" style="172" customWidth="1"/>
    <col min="2309" max="2554" width="9.140625" style="172"/>
    <col min="2555" max="2555" width="21.42578125" style="172" customWidth="1"/>
    <col min="2556" max="2557" width="13.7109375" style="172" customWidth="1"/>
    <col min="2558" max="2558" width="9.7109375" style="172" customWidth="1"/>
    <col min="2559" max="2560" width="13.7109375" style="172" customWidth="1"/>
    <col min="2561" max="2561" width="9.7109375" style="172" customWidth="1"/>
    <col min="2562" max="2563" width="13.7109375" style="172" customWidth="1"/>
    <col min="2564" max="2564" width="9.7109375" style="172" customWidth="1"/>
    <col min="2565" max="2810" width="9.140625" style="172"/>
    <col min="2811" max="2811" width="21.42578125" style="172" customWidth="1"/>
    <col min="2812" max="2813" width="13.7109375" style="172" customWidth="1"/>
    <col min="2814" max="2814" width="9.7109375" style="172" customWidth="1"/>
    <col min="2815" max="2816" width="13.7109375" style="172" customWidth="1"/>
    <col min="2817" max="2817" width="9.7109375" style="172" customWidth="1"/>
    <col min="2818" max="2819" width="13.7109375" style="172" customWidth="1"/>
    <col min="2820" max="2820" width="9.7109375" style="172" customWidth="1"/>
    <col min="2821" max="3066" width="9.140625" style="172"/>
    <col min="3067" max="3067" width="21.42578125" style="172" customWidth="1"/>
    <col min="3068" max="3069" width="13.7109375" style="172" customWidth="1"/>
    <col min="3070" max="3070" width="9.7109375" style="172" customWidth="1"/>
    <col min="3071" max="3072" width="13.7109375" style="172" customWidth="1"/>
    <col min="3073" max="3073" width="9.7109375" style="172" customWidth="1"/>
    <col min="3074" max="3075" width="13.7109375" style="172" customWidth="1"/>
    <col min="3076" max="3076" width="9.7109375" style="172" customWidth="1"/>
    <col min="3077" max="3322" width="9.140625" style="172"/>
    <col min="3323" max="3323" width="21.42578125" style="172" customWidth="1"/>
    <col min="3324" max="3325" width="13.7109375" style="172" customWidth="1"/>
    <col min="3326" max="3326" width="9.7109375" style="172" customWidth="1"/>
    <col min="3327" max="3328" width="13.7109375" style="172" customWidth="1"/>
    <col min="3329" max="3329" width="9.7109375" style="172" customWidth="1"/>
    <col min="3330" max="3331" width="13.7109375" style="172" customWidth="1"/>
    <col min="3332" max="3332" width="9.7109375" style="172" customWidth="1"/>
    <col min="3333" max="3578" width="9.140625" style="172"/>
    <col min="3579" max="3579" width="21.42578125" style="172" customWidth="1"/>
    <col min="3580" max="3581" width="13.7109375" style="172" customWidth="1"/>
    <col min="3582" max="3582" width="9.7109375" style="172" customWidth="1"/>
    <col min="3583" max="3584" width="13.7109375" style="172" customWidth="1"/>
    <col min="3585" max="3585" width="9.7109375" style="172" customWidth="1"/>
    <col min="3586" max="3587" width="13.7109375" style="172" customWidth="1"/>
    <col min="3588" max="3588" width="9.7109375" style="172" customWidth="1"/>
    <col min="3589" max="3834" width="9.140625" style="172"/>
    <col min="3835" max="3835" width="21.42578125" style="172" customWidth="1"/>
    <col min="3836" max="3837" width="13.7109375" style="172" customWidth="1"/>
    <col min="3838" max="3838" width="9.7109375" style="172" customWidth="1"/>
    <col min="3839" max="3840" width="13.7109375" style="172" customWidth="1"/>
    <col min="3841" max="3841" width="9.7109375" style="172" customWidth="1"/>
    <col min="3842" max="3843" width="13.7109375" style="172" customWidth="1"/>
    <col min="3844" max="3844" width="9.7109375" style="172" customWidth="1"/>
    <col min="3845" max="4090" width="9.140625" style="172"/>
    <col min="4091" max="4091" width="21.42578125" style="172" customWidth="1"/>
    <col min="4092" max="4093" width="13.7109375" style="172" customWidth="1"/>
    <col min="4094" max="4094" width="9.7109375" style="172" customWidth="1"/>
    <col min="4095" max="4096" width="13.7109375" style="172" customWidth="1"/>
    <col min="4097" max="4097" width="9.7109375" style="172" customWidth="1"/>
    <col min="4098" max="4099" width="13.7109375" style="172" customWidth="1"/>
    <col min="4100" max="4100" width="9.7109375" style="172" customWidth="1"/>
    <col min="4101" max="4346" width="9.140625" style="172"/>
    <col min="4347" max="4347" width="21.42578125" style="172" customWidth="1"/>
    <col min="4348" max="4349" width="13.7109375" style="172" customWidth="1"/>
    <col min="4350" max="4350" width="9.7109375" style="172" customWidth="1"/>
    <col min="4351" max="4352" width="13.7109375" style="172" customWidth="1"/>
    <col min="4353" max="4353" width="9.7109375" style="172" customWidth="1"/>
    <col min="4354" max="4355" width="13.7109375" style="172" customWidth="1"/>
    <col min="4356" max="4356" width="9.7109375" style="172" customWidth="1"/>
    <col min="4357" max="4602" width="9.140625" style="172"/>
    <col min="4603" max="4603" width="21.42578125" style="172" customWidth="1"/>
    <col min="4604" max="4605" width="13.7109375" style="172" customWidth="1"/>
    <col min="4606" max="4606" width="9.7109375" style="172" customWidth="1"/>
    <col min="4607" max="4608" width="13.7109375" style="172" customWidth="1"/>
    <col min="4609" max="4609" width="9.7109375" style="172" customWidth="1"/>
    <col min="4610" max="4611" width="13.7109375" style="172" customWidth="1"/>
    <col min="4612" max="4612" width="9.7109375" style="172" customWidth="1"/>
    <col min="4613" max="4858" width="9.140625" style="172"/>
    <col min="4859" max="4859" width="21.42578125" style="172" customWidth="1"/>
    <col min="4860" max="4861" width="13.7109375" style="172" customWidth="1"/>
    <col min="4862" max="4862" width="9.7109375" style="172" customWidth="1"/>
    <col min="4863" max="4864" width="13.7109375" style="172" customWidth="1"/>
    <col min="4865" max="4865" width="9.7109375" style="172" customWidth="1"/>
    <col min="4866" max="4867" width="13.7109375" style="172" customWidth="1"/>
    <col min="4868" max="4868" width="9.7109375" style="172" customWidth="1"/>
    <col min="4869" max="5114" width="9.140625" style="172"/>
    <col min="5115" max="5115" width="21.42578125" style="172" customWidth="1"/>
    <col min="5116" max="5117" width="13.7109375" style="172" customWidth="1"/>
    <col min="5118" max="5118" width="9.7109375" style="172" customWidth="1"/>
    <col min="5119" max="5120" width="13.7109375" style="172" customWidth="1"/>
    <col min="5121" max="5121" width="9.7109375" style="172" customWidth="1"/>
    <col min="5122" max="5123" width="13.7109375" style="172" customWidth="1"/>
    <col min="5124" max="5124" width="9.7109375" style="172" customWidth="1"/>
    <col min="5125" max="5370" width="9.140625" style="172"/>
    <col min="5371" max="5371" width="21.42578125" style="172" customWidth="1"/>
    <col min="5372" max="5373" width="13.7109375" style="172" customWidth="1"/>
    <col min="5374" max="5374" width="9.7109375" style="172" customWidth="1"/>
    <col min="5375" max="5376" width="13.7109375" style="172" customWidth="1"/>
    <col min="5377" max="5377" width="9.7109375" style="172" customWidth="1"/>
    <col min="5378" max="5379" width="13.7109375" style="172" customWidth="1"/>
    <col min="5380" max="5380" width="9.7109375" style="172" customWidth="1"/>
    <col min="5381" max="5626" width="9.140625" style="172"/>
    <col min="5627" max="5627" width="21.42578125" style="172" customWidth="1"/>
    <col min="5628" max="5629" width="13.7109375" style="172" customWidth="1"/>
    <col min="5630" max="5630" width="9.7109375" style="172" customWidth="1"/>
    <col min="5631" max="5632" width="13.7109375" style="172" customWidth="1"/>
    <col min="5633" max="5633" width="9.7109375" style="172" customWidth="1"/>
    <col min="5634" max="5635" width="13.7109375" style="172" customWidth="1"/>
    <col min="5636" max="5636" width="9.7109375" style="172" customWidth="1"/>
    <col min="5637" max="5882" width="9.140625" style="172"/>
    <col min="5883" max="5883" width="21.42578125" style="172" customWidth="1"/>
    <col min="5884" max="5885" width="13.7109375" style="172" customWidth="1"/>
    <col min="5886" max="5886" width="9.7109375" style="172" customWidth="1"/>
    <col min="5887" max="5888" width="13.7109375" style="172" customWidth="1"/>
    <col min="5889" max="5889" width="9.7109375" style="172" customWidth="1"/>
    <col min="5890" max="5891" width="13.7109375" style="172" customWidth="1"/>
    <col min="5892" max="5892" width="9.7109375" style="172" customWidth="1"/>
    <col min="5893" max="6138" width="9.140625" style="172"/>
    <col min="6139" max="6139" width="21.42578125" style="172" customWidth="1"/>
    <col min="6140" max="6141" width="13.7109375" style="172" customWidth="1"/>
    <col min="6142" max="6142" width="9.7109375" style="172" customWidth="1"/>
    <col min="6143" max="6144" width="13.7109375" style="172" customWidth="1"/>
    <col min="6145" max="6145" width="9.7109375" style="172" customWidth="1"/>
    <col min="6146" max="6147" width="13.7109375" style="172" customWidth="1"/>
    <col min="6148" max="6148" width="9.7109375" style="172" customWidth="1"/>
    <col min="6149" max="6394" width="9.140625" style="172"/>
    <col min="6395" max="6395" width="21.42578125" style="172" customWidth="1"/>
    <col min="6396" max="6397" width="13.7109375" style="172" customWidth="1"/>
    <col min="6398" max="6398" width="9.7109375" style="172" customWidth="1"/>
    <col min="6399" max="6400" width="13.7109375" style="172" customWidth="1"/>
    <col min="6401" max="6401" width="9.7109375" style="172" customWidth="1"/>
    <col min="6402" max="6403" width="13.7109375" style="172" customWidth="1"/>
    <col min="6404" max="6404" width="9.7109375" style="172" customWidth="1"/>
    <col min="6405" max="6650" width="9.140625" style="172"/>
    <col min="6651" max="6651" width="21.42578125" style="172" customWidth="1"/>
    <col min="6652" max="6653" width="13.7109375" style="172" customWidth="1"/>
    <col min="6654" max="6654" width="9.7109375" style="172" customWidth="1"/>
    <col min="6655" max="6656" width="13.7109375" style="172" customWidth="1"/>
    <col min="6657" max="6657" width="9.7109375" style="172" customWidth="1"/>
    <col min="6658" max="6659" width="13.7109375" style="172" customWidth="1"/>
    <col min="6660" max="6660" width="9.7109375" style="172" customWidth="1"/>
    <col min="6661" max="6906" width="9.140625" style="172"/>
    <col min="6907" max="6907" width="21.42578125" style="172" customWidth="1"/>
    <col min="6908" max="6909" width="13.7109375" style="172" customWidth="1"/>
    <col min="6910" max="6910" width="9.7109375" style="172" customWidth="1"/>
    <col min="6911" max="6912" width="13.7109375" style="172" customWidth="1"/>
    <col min="6913" max="6913" width="9.7109375" style="172" customWidth="1"/>
    <col min="6914" max="6915" width="13.7109375" style="172" customWidth="1"/>
    <col min="6916" max="6916" width="9.7109375" style="172" customWidth="1"/>
    <col min="6917" max="7162" width="9.140625" style="172"/>
    <col min="7163" max="7163" width="21.42578125" style="172" customWidth="1"/>
    <col min="7164" max="7165" width="13.7109375" style="172" customWidth="1"/>
    <col min="7166" max="7166" width="9.7109375" style="172" customWidth="1"/>
    <col min="7167" max="7168" width="13.7109375" style="172" customWidth="1"/>
    <col min="7169" max="7169" width="9.7109375" style="172" customWidth="1"/>
    <col min="7170" max="7171" width="13.7109375" style="172" customWidth="1"/>
    <col min="7172" max="7172" width="9.7109375" style="172" customWidth="1"/>
    <col min="7173" max="7418" width="9.140625" style="172"/>
    <col min="7419" max="7419" width="21.42578125" style="172" customWidth="1"/>
    <col min="7420" max="7421" width="13.7109375" style="172" customWidth="1"/>
    <col min="7422" max="7422" width="9.7109375" style="172" customWidth="1"/>
    <col min="7423" max="7424" width="13.7109375" style="172" customWidth="1"/>
    <col min="7425" max="7425" width="9.7109375" style="172" customWidth="1"/>
    <col min="7426" max="7427" width="13.7109375" style="172" customWidth="1"/>
    <col min="7428" max="7428" width="9.7109375" style="172" customWidth="1"/>
    <col min="7429" max="7674" width="9.140625" style="172"/>
    <col min="7675" max="7675" width="21.42578125" style="172" customWidth="1"/>
    <col min="7676" max="7677" width="13.7109375" style="172" customWidth="1"/>
    <col min="7678" max="7678" width="9.7109375" style="172" customWidth="1"/>
    <col min="7679" max="7680" width="13.7109375" style="172" customWidth="1"/>
    <col min="7681" max="7681" width="9.7109375" style="172" customWidth="1"/>
    <col min="7682" max="7683" width="13.7109375" style="172" customWidth="1"/>
    <col min="7684" max="7684" width="9.7109375" style="172" customWidth="1"/>
    <col min="7685" max="7930" width="9.140625" style="172"/>
    <col min="7931" max="7931" width="21.42578125" style="172" customWidth="1"/>
    <col min="7932" max="7933" width="13.7109375" style="172" customWidth="1"/>
    <col min="7934" max="7934" width="9.7109375" style="172" customWidth="1"/>
    <col min="7935" max="7936" width="13.7109375" style="172" customWidth="1"/>
    <col min="7937" max="7937" width="9.7109375" style="172" customWidth="1"/>
    <col min="7938" max="7939" width="13.7109375" style="172" customWidth="1"/>
    <col min="7940" max="7940" width="9.7109375" style="172" customWidth="1"/>
    <col min="7941" max="8186" width="9.140625" style="172"/>
    <col min="8187" max="8187" width="21.42578125" style="172" customWidth="1"/>
    <col min="8188" max="8189" width="13.7109375" style="172" customWidth="1"/>
    <col min="8190" max="8190" width="9.7109375" style="172" customWidth="1"/>
    <col min="8191" max="8192" width="13.7109375" style="172" customWidth="1"/>
    <col min="8193" max="8193" width="9.7109375" style="172" customWidth="1"/>
    <col min="8194" max="8195" width="13.7109375" style="172" customWidth="1"/>
    <col min="8196" max="8196" width="9.7109375" style="172" customWidth="1"/>
    <col min="8197" max="8442" width="9.140625" style="172"/>
    <col min="8443" max="8443" width="21.42578125" style="172" customWidth="1"/>
    <col min="8444" max="8445" width="13.7109375" style="172" customWidth="1"/>
    <col min="8446" max="8446" width="9.7109375" style="172" customWidth="1"/>
    <col min="8447" max="8448" width="13.7109375" style="172" customWidth="1"/>
    <col min="8449" max="8449" width="9.7109375" style="172" customWidth="1"/>
    <col min="8450" max="8451" width="13.7109375" style="172" customWidth="1"/>
    <col min="8452" max="8452" width="9.7109375" style="172" customWidth="1"/>
    <col min="8453" max="8698" width="9.140625" style="172"/>
    <col min="8699" max="8699" width="21.42578125" style="172" customWidth="1"/>
    <col min="8700" max="8701" width="13.7109375" style="172" customWidth="1"/>
    <col min="8702" max="8702" width="9.7109375" style="172" customWidth="1"/>
    <col min="8703" max="8704" width="13.7109375" style="172" customWidth="1"/>
    <col min="8705" max="8705" width="9.7109375" style="172" customWidth="1"/>
    <col min="8706" max="8707" width="13.7109375" style="172" customWidth="1"/>
    <col min="8708" max="8708" width="9.7109375" style="172" customWidth="1"/>
    <col min="8709" max="8954" width="9.140625" style="172"/>
    <col min="8955" max="8955" width="21.42578125" style="172" customWidth="1"/>
    <col min="8956" max="8957" width="13.7109375" style="172" customWidth="1"/>
    <col min="8958" max="8958" width="9.7109375" style="172" customWidth="1"/>
    <col min="8959" max="8960" width="13.7109375" style="172" customWidth="1"/>
    <col min="8961" max="8961" width="9.7109375" style="172" customWidth="1"/>
    <col min="8962" max="8963" width="13.7109375" style="172" customWidth="1"/>
    <col min="8964" max="8964" width="9.7109375" style="172" customWidth="1"/>
    <col min="8965" max="9210" width="9.140625" style="172"/>
    <col min="9211" max="9211" width="21.42578125" style="172" customWidth="1"/>
    <col min="9212" max="9213" width="13.7109375" style="172" customWidth="1"/>
    <col min="9214" max="9214" width="9.7109375" style="172" customWidth="1"/>
    <col min="9215" max="9216" width="13.7109375" style="172" customWidth="1"/>
    <col min="9217" max="9217" width="9.7109375" style="172" customWidth="1"/>
    <col min="9218" max="9219" width="13.7109375" style="172" customWidth="1"/>
    <col min="9220" max="9220" width="9.7109375" style="172" customWidth="1"/>
    <col min="9221" max="9466" width="9.140625" style="172"/>
    <col min="9467" max="9467" width="21.42578125" style="172" customWidth="1"/>
    <col min="9468" max="9469" width="13.7109375" style="172" customWidth="1"/>
    <col min="9470" max="9470" width="9.7109375" style="172" customWidth="1"/>
    <col min="9471" max="9472" width="13.7109375" style="172" customWidth="1"/>
    <col min="9473" max="9473" width="9.7109375" style="172" customWidth="1"/>
    <col min="9474" max="9475" width="13.7109375" style="172" customWidth="1"/>
    <col min="9476" max="9476" width="9.7109375" style="172" customWidth="1"/>
    <col min="9477" max="9722" width="9.140625" style="172"/>
    <col min="9723" max="9723" width="21.42578125" style="172" customWidth="1"/>
    <col min="9724" max="9725" width="13.7109375" style="172" customWidth="1"/>
    <col min="9726" max="9726" width="9.7109375" style="172" customWidth="1"/>
    <col min="9727" max="9728" width="13.7109375" style="172" customWidth="1"/>
    <col min="9729" max="9729" width="9.7109375" style="172" customWidth="1"/>
    <col min="9730" max="9731" width="13.7109375" style="172" customWidth="1"/>
    <col min="9732" max="9732" width="9.7109375" style="172" customWidth="1"/>
    <col min="9733" max="9978" width="9.140625" style="172"/>
    <col min="9979" max="9979" width="21.42578125" style="172" customWidth="1"/>
    <col min="9980" max="9981" width="13.7109375" style="172" customWidth="1"/>
    <col min="9982" max="9982" width="9.7109375" style="172" customWidth="1"/>
    <col min="9983" max="9984" width="13.7109375" style="172" customWidth="1"/>
    <col min="9985" max="9985" width="9.7109375" style="172" customWidth="1"/>
    <col min="9986" max="9987" width="13.7109375" style="172" customWidth="1"/>
    <col min="9988" max="9988" width="9.7109375" style="172" customWidth="1"/>
    <col min="9989" max="10234" width="9.140625" style="172"/>
    <col min="10235" max="10235" width="21.42578125" style="172" customWidth="1"/>
    <col min="10236" max="10237" width="13.7109375" style="172" customWidth="1"/>
    <col min="10238" max="10238" width="9.7109375" style="172" customWidth="1"/>
    <col min="10239" max="10240" width="13.7109375" style="172" customWidth="1"/>
    <col min="10241" max="10241" width="9.7109375" style="172" customWidth="1"/>
    <col min="10242" max="10243" width="13.7109375" style="172" customWidth="1"/>
    <col min="10244" max="10244" width="9.7109375" style="172" customWidth="1"/>
    <col min="10245" max="10490" width="9.140625" style="172"/>
    <col min="10491" max="10491" width="21.42578125" style="172" customWidth="1"/>
    <col min="10492" max="10493" width="13.7109375" style="172" customWidth="1"/>
    <col min="10494" max="10494" width="9.7109375" style="172" customWidth="1"/>
    <col min="10495" max="10496" width="13.7109375" style="172" customWidth="1"/>
    <col min="10497" max="10497" width="9.7109375" style="172" customWidth="1"/>
    <col min="10498" max="10499" width="13.7109375" style="172" customWidth="1"/>
    <col min="10500" max="10500" width="9.7109375" style="172" customWidth="1"/>
    <col min="10501" max="10746" width="9.140625" style="172"/>
    <col min="10747" max="10747" width="21.42578125" style="172" customWidth="1"/>
    <col min="10748" max="10749" width="13.7109375" style="172" customWidth="1"/>
    <col min="10750" max="10750" width="9.7109375" style="172" customWidth="1"/>
    <col min="10751" max="10752" width="13.7109375" style="172" customWidth="1"/>
    <col min="10753" max="10753" width="9.7109375" style="172" customWidth="1"/>
    <col min="10754" max="10755" width="13.7109375" style="172" customWidth="1"/>
    <col min="10756" max="10756" width="9.7109375" style="172" customWidth="1"/>
    <col min="10757" max="11002" width="9.140625" style="172"/>
    <col min="11003" max="11003" width="21.42578125" style="172" customWidth="1"/>
    <col min="11004" max="11005" width="13.7109375" style="172" customWidth="1"/>
    <col min="11006" max="11006" width="9.7109375" style="172" customWidth="1"/>
    <col min="11007" max="11008" width="13.7109375" style="172" customWidth="1"/>
    <col min="11009" max="11009" width="9.7109375" style="172" customWidth="1"/>
    <col min="11010" max="11011" width="13.7109375" style="172" customWidth="1"/>
    <col min="11012" max="11012" width="9.7109375" style="172" customWidth="1"/>
    <col min="11013" max="11258" width="9.140625" style="172"/>
    <col min="11259" max="11259" width="21.42578125" style="172" customWidth="1"/>
    <col min="11260" max="11261" width="13.7109375" style="172" customWidth="1"/>
    <col min="11262" max="11262" width="9.7109375" style="172" customWidth="1"/>
    <col min="11263" max="11264" width="13.7109375" style="172" customWidth="1"/>
    <col min="11265" max="11265" width="9.7109375" style="172" customWidth="1"/>
    <col min="11266" max="11267" width="13.7109375" style="172" customWidth="1"/>
    <col min="11268" max="11268" width="9.7109375" style="172" customWidth="1"/>
    <col min="11269" max="11514" width="9.140625" style="172"/>
    <col min="11515" max="11515" width="21.42578125" style="172" customWidth="1"/>
    <col min="11516" max="11517" width="13.7109375" style="172" customWidth="1"/>
    <col min="11518" max="11518" width="9.7109375" style="172" customWidth="1"/>
    <col min="11519" max="11520" width="13.7109375" style="172" customWidth="1"/>
    <col min="11521" max="11521" width="9.7109375" style="172" customWidth="1"/>
    <col min="11522" max="11523" width="13.7109375" style="172" customWidth="1"/>
    <col min="11524" max="11524" width="9.7109375" style="172" customWidth="1"/>
    <col min="11525" max="11770" width="9.140625" style="172"/>
    <col min="11771" max="11771" width="21.42578125" style="172" customWidth="1"/>
    <col min="11772" max="11773" width="13.7109375" style="172" customWidth="1"/>
    <col min="11774" max="11774" width="9.7109375" style="172" customWidth="1"/>
    <col min="11775" max="11776" width="13.7109375" style="172" customWidth="1"/>
    <col min="11777" max="11777" width="9.7109375" style="172" customWidth="1"/>
    <col min="11778" max="11779" width="13.7109375" style="172" customWidth="1"/>
    <col min="11780" max="11780" width="9.7109375" style="172" customWidth="1"/>
    <col min="11781" max="12026" width="9.140625" style="172"/>
    <col min="12027" max="12027" width="21.42578125" style="172" customWidth="1"/>
    <col min="12028" max="12029" width="13.7109375" style="172" customWidth="1"/>
    <col min="12030" max="12030" width="9.7109375" style="172" customWidth="1"/>
    <col min="12031" max="12032" width="13.7109375" style="172" customWidth="1"/>
    <col min="12033" max="12033" width="9.7109375" style="172" customWidth="1"/>
    <col min="12034" max="12035" width="13.7109375" style="172" customWidth="1"/>
    <col min="12036" max="12036" width="9.7109375" style="172" customWidth="1"/>
    <col min="12037" max="12282" width="9.140625" style="172"/>
    <col min="12283" max="12283" width="21.42578125" style="172" customWidth="1"/>
    <col min="12284" max="12285" width="13.7109375" style="172" customWidth="1"/>
    <col min="12286" max="12286" width="9.7109375" style="172" customWidth="1"/>
    <col min="12287" max="12288" width="13.7109375" style="172" customWidth="1"/>
    <col min="12289" max="12289" width="9.7109375" style="172" customWidth="1"/>
    <col min="12290" max="12291" width="13.7109375" style="172" customWidth="1"/>
    <col min="12292" max="12292" width="9.7109375" style="172" customWidth="1"/>
    <col min="12293" max="12538" width="9.140625" style="172"/>
    <col min="12539" max="12539" width="21.42578125" style="172" customWidth="1"/>
    <col min="12540" max="12541" width="13.7109375" style="172" customWidth="1"/>
    <col min="12542" max="12542" width="9.7109375" style="172" customWidth="1"/>
    <col min="12543" max="12544" width="13.7109375" style="172" customWidth="1"/>
    <col min="12545" max="12545" width="9.7109375" style="172" customWidth="1"/>
    <col min="12546" max="12547" width="13.7109375" style="172" customWidth="1"/>
    <col min="12548" max="12548" width="9.7109375" style="172" customWidth="1"/>
    <col min="12549" max="12794" width="9.140625" style="172"/>
    <col min="12795" max="12795" width="21.42578125" style="172" customWidth="1"/>
    <col min="12796" max="12797" width="13.7109375" style="172" customWidth="1"/>
    <col min="12798" max="12798" width="9.7109375" style="172" customWidth="1"/>
    <col min="12799" max="12800" width="13.7109375" style="172" customWidth="1"/>
    <col min="12801" max="12801" width="9.7109375" style="172" customWidth="1"/>
    <col min="12802" max="12803" width="13.7109375" style="172" customWidth="1"/>
    <col min="12804" max="12804" width="9.7109375" style="172" customWidth="1"/>
    <col min="12805" max="13050" width="9.140625" style="172"/>
    <col min="13051" max="13051" width="21.42578125" style="172" customWidth="1"/>
    <col min="13052" max="13053" width="13.7109375" style="172" customWidth="1"/>
    <col min="13054" max="13054" width="9.7109375" style="172" customWidth="1"/>
    <col min="13055" max="13056" width="13.7109375" style="172" customWidth="1"/>
    <col min="13057" max="13057" width="9.7109375" style="172" customWidth="1"/>
    <col min="13058" max="13059" width="13.7109375" style="172" customWidth="1"/>
    <col min="13060" max="13060" width="9.7109375" style="172" customWidth="1"/>
    <col min="13061" max="13306" width="9.140625" style="172"/>
    <col min="13307" max="13307" width="21.42578125" style="172" customWidth="1"/>
    <col min="13308" max="13309" width="13.7109375" style="172" customWidth="1"/>
    <col min="13310" max="13310" width="9.7109375" style="172" customWidth="1"/>
    <col min="13311" max="13312" width="13.7109375" style="172" customWidth="1"/>
    <col min="13313" max="13313" width="9.7109375" style="172" customWidth="1"/>
    <col min="13314" max="13315" width="13.7109375" style="172" customWidth="1"/>
    <col min="13316" max="13316" width="9.7109375" style="172" customWidth="1"/>
    <col min="13317" max="13562" width="9.140625" style="172"/>
    <col min="13563" max="13563" width="21.42578125" style="172" customWidth="1"/>
    <col min="13564" max="13565" width="13.7109375" style="172" customWidth="1"/>
    <col min="13566" max="13566" width="9.7109375" style="172" customWidth="1"/>
    <col min="13567" max="13568" width="13.7109375" style="172" customWidth="1"/>
    <col min="13569" max="13569" width="9.7109375" style="172" customWidth="1"/>
    <col min="13570" max="13571" width="13.7109375" style="172" customWidth="1"/>
    <col min="13572" max="13572" width="9.7109375" style="172" customWidth="1"/>
    <col min="13573" max="13818" width="9.140625" style="172"/>
    <col min="13819" max="13819" width="21.42578125" style="172" customWidth="1"/>
    <col min="13820" max="13821" width="13.7109375" style="172" customWidth="1"/>
    <col min="13822" max="13822" width="9.7109375" style="172" customWidth="1"/>
    <col min="13823" max="13824" width="13.7109375" style="172" customWidth="1"/>
    <col min="13825" max="13825" width="9.7109375" style="172" customWidth="1"/>
    <col min="13826" max="13827" width="13.7109375" style="172" customWidth="1"/>
    <col min="13828" max="13828" width="9.7109375" style="172" customWidth="1"/>
    <col min="13829" max="14074" width="9.140625" style="172"/>
    <col min="14075" max="14075" width="21.42578125" style="172" customWidth="1"/>
    <col min="14076" max="14077" width="13.7109375" style="172" customWidth="1"/>
    <col min="14078" max="14078" width="9.7109375" style="172" customWidth="1"/>
    <col min="14079" max="14080" width="13.7109375" style="172" customWidth="1"/>
    <col min="14081" max="14081" width="9.7109375" style="172" customWidth="1"/>
    <col min="14082" max="14083" width="13.7109375" style="172" customWidth="1"/>
    <col min="14084" max="14084" width="9.7109375" style="172" customWidth="1"/>
    <col min="14085" max="14330" width="9.140625" style="172"/>
    <col min="14331" max="14331" width="21.42578125" style="172" customWidth="1"/>
    <col min="14332" max="14333" width="13.7109375" style="172" customWidth="1"/>
    <col min="14334" max="14334" width="9.7109375" style="172" customWidth="1"/>
    <col min="14335" max="14336" width="13.7109375" style="172" customWidth="1"/>
    <col min="14337" max="14337" width="9.7109375" style="172" customWidth="1"/>
    <col min="14338" max="14339" width="13.7109375" style="172" customWidth="1"/>
    <col min="14340" max="14340" width="9.7109375" style="172" customWidth="1"/>
    <col min="14341" max="14586" width="9.140625" style="172"/>
    <col min="14587" max="14587" width="21.42578125" style="172" customWidth="1"/>
    <col min="14588" max="14589" width="13.7109375" style="172" customWidth="1"/>
    <col min="14590" max="14590" width="9.7109375" style="172" customWidth="1"/>
    <col min="14591" max="14592" width="13.7109375" style="172" customWidth="1"/>
    <col min="14593" max="14593" width="9.7109375" style="172" customWidth="1"/>
    <col min="14594" max="14595" width="13.7109375" style="172" customWidth="1"/>
    <col min="14596" max="14596" width="9.7109375" style="172" customWidth="1"/>
    <col min="14597" max="14842" width="9.140625" style="172"/>
    <col min="14843" max="14843" width="21.42578125" style="172" customWidth="1"/>
    <col min="14844" max="14845" width="13.7109375" style="172" customWidth="1"/>
    <col min="14846" max="14846" width="9.7109375" style="172" customWidth="1"/>
    <col min="14847" max="14848" width="13.7109375" style="172" customWidth="1"/>
    <col min="14849" max="14849" width="9.7109375" style="172" customWidth="1"/>
    <col min="14850" max="14851" width="13.7109375" style="172" customWidth="1"/>
    <col min="14852" max="14852" width="9.7109375" style="172" customWidth="1"/>
    <col min="14853" max="15098" width="9.140625" style="172"/>
    <col min="15099" max="15099" width="21.42578125" style="172" customWidth="1"/>
    <col min="15100" max="15101" width="13.7109375" style="172" customWidth="1"/>
    <col min="15102" max="15102" width="9.7109375" style="172" customWidth="1"/>
    <col min="15103" max="15104" width="13.7109375" style="172" customWidth="1"/>
    <col min="15105" max="15105" width="9.7109375" style="172" customWidth="1"/>
    <col min="15106" max="15107" width="13.7109375" style="172" customWidth="1"/>
    <col min="15108" max="15108" width="9.7109375" style="172" customWidth="1"/>
    <col min="15109" max="15354" width="9.140625" style="172"/>
    <col min="15355" max="15355" width="21.42578125" style="172" customWidth="1"/>
    <col min="15356" max="15357" width="13.7109375" style="172" customWidth="1"/>
    <col min="15358" max="15358" width="9.7109375" style="172" customWidth="1"/>
    <col min="15359" max="15360" width="13.7109375" style="172" customWidth="1"/>
    <col min="15361" max="15361" width="9.7109375" style="172" customWidth="1"/>
    <col min="15362" max="15363" width="13.7109375" style="172" customWidth="1"/>
    <col min="15364" max="15364" width="9.7109375" style="172" customWidth="1"/>
    <col min="15365" max="15610" width="9.140625" style="172"/>
    <col min="15611" max="15611" width="21.42578125" style="172" customWidth="1"/>
    <col min="15612" max="15613" width="13.7109375" style="172" customWidth="1"/>
    <col min="15614" max="15614" width="9.7109375" style="172" customWidth="1"/>
    <col min="15615" max="15616" width="13.7109375" style="172" customWidth="1"/>
    <col min="15617" max="15617" width="9.7109375" style="172" customWidth="1"/>
    <col min="15618" max="15619" width="13.7109375" style="172" customWidth="1"/>
    <col min="15620" max="15620" width="9.7109375" style="172" customWidth="1"/>
    <col min="15621" max="15866" width="9.140625" style="172"/>
    <col min="15867" max="15867" width="21.42578125" style="172" customWidth="1"/>
    <col min="15868" max="15869" width="13.7109375" style="172" customWidth="1"/>
    <col min="15870" max="15870" width="9.7109375" style="172" customWidth="1"/>
    <col min="15871" max="15872" width="13.7109375" style="172" customWidth="1"/>
    <col min="15873" max="15873" width="9.7109375" style="172" customWidth="1"/>
    <col min="15874" max="15875" width="13.7109375" style="172" customWidth="1"/>
    <col min="15876" max="15876" width="9.7109375" style="172" customWidth="1"/>
    <col min="15877" max="16122" width="9.140625" style="172"/>
    <col min="16123" max="16123" width="21.42578125" style="172" customWidth="1"/>
    <col min="16124" max="16125" width="13.7109375" style="172" customWidth="1"/>
    <col min="16126" max="16126" width="9.7109375" style="172" customWidth="1"/>
    <col min="16127" max="16128" width="13.7109375" style="172" customWidth="1"/>
    <col min="16129" max="16129" width="9.7109375" style="172" customWidth="1"/>
    <col min="16130" max="16131" width="13.7109375" style="172" customWidth="1"/>
    <col min="16132" max="16132" width="9.7109375" style="172" customWidth="1"/>
    <col min="16133" max="16384" width="9.140625" style="172"/>
  </cols>
  <sheetData>
    <row r="1" spans="1:10" ht="13.5" customHeight="1" x14ac:dyDescent="0.2">
      <c r="A1" s="492"/>
      <c r="B1" s="494" t="s">
        <v>166</v>
      </c>
      <c r="C1" s="495"/>
      <c r="D1" s="496"/>
      <c r="E1" s="494" t="s">
        <v>167</v>
      </c>
      <c r="F1" s="495"/>
      <c r="G1" s="496"/>
      <c r="H1" s="497" t="s">
        <v>168</v>
      </c>
      <c r="I1" s="497"/>
      <c r="J1" s="498"/>
    </row>
    <row r="2" spans="1:10" ht="30" customHeight="1" thickBot="1" x14ac:dyDescent="0.25">
      <c r="A2" s="493"/>
      <c r="B2" s="174" t="s">
        <v>231</v>
      </c>
      <c r="C2" s="175" t="s">
        <v>457</v>
      </c>
      <c r="D2" s="176" t="s">
        <v>169</v>
      </c>
      <c r="E2" s="174" t="s">
        <v>231</v>
      </c>
      <c r="F2" s="175" t="s">
        <v>457</v>
      </c>
      <c r="G2" s="176" t="s">
        <v>169</v>
      </c>
      <c r="H2" s="174" t="s">
        <v>231</v>
      </c>
      <c r="I2" s="175" t="s">
        <v>457</v>
      </c>
      <c r="J2" s="176" t="s">
        <v>169</v>
      </c>
    </row>
    <row r="3" spans="1:10" ht="13.5" customHeight="1" x14ac:dyDescent="0.2">
      <c r="A3" s="177" t="s">
        <v>142</v>
      </c>
      <c r="B3" s="178">
        <v>1025</v>
      </c>
      <c r="C3" s="179">
        <v>1105</v>
      </c>
      <c r="D3" s="180">
        <f t="shared" ref="D3:D22" si="0">C3/B3</f>
        <v>1.0780487804878049</v>
      </c>
      <c r="E3" s="179">
        <v>2050</v>
      </c>
      <c r="F3" s="179">
        <v>2190</v>
      </c>
      <c r="G3" s="180">
        <f t="shared" ref="G3:G22" si="1">F3/E3</f>
        <v>1.0682926829268293</v>
      </c>
      <c r="H3" s="181">
        <v>1365300.0000000002</v>
      </c>
      <c r="I3" s="179">
        <v>1450308</v>
      </c>
      <c r="J3" s="180">
        <f t="shared" ref="J3:J22" si="2">I3/H3</f>
        <v>1.0622632388486046</v>
      </c>
    </row>
    <row r="4" spans="1:10" ht="13.5" customHeight="1" x14ac:dyDescent="0.2">
      <c r="A4" s="182" t="s">
        <v>145</v>
      </c>
      <c r="B4" s="183">
        <v>1485</v>
      </c>
      <c r="C4" s="179">
        <v>1695</v>
      </c>
      <c r="D4" s="184">
        <f t="shared" si="0"/>
        <v>1.1414141414141414</v>
      </c>
      <c r="E4" s="185">
        <v>10603</v>
      </c>
      <c r="F4" s="179">
        <v>11565</v>
      </c>
      <c r="G4" s="184">
        <f t="shared" si="1"/>
        <v>1.0907290389512403</v>
      </c>
      <c r="H4" s="186">
        <v>2400000</v>
      </c>
      <c r="I4" s="179">
        <v>2573370</v>
      </c>
      <c r="J4" s="184">
        <f t="shared" si="2"/>
        <v>1.0722375</v>
      </c>
    </row>
    <row r="5" spans="1:10" ht="13.5" customHeight="1" x14ac:dyDescent="0.2">
      <c r="A5" s="182" t="s">
        <v>135</v>
      </c>
      <c r="B5" s="183">
        <v>2590</v>
      </c>
      <c r="C5" s="179">
        <v>2301</v>
      </c>
      <c r="D5" s="184">
        <f t="shared" si="0"/>
        <v>0.88841698841698846</v>
      </c>
      <c r="E5" s="185">
        <v>7020</v>
      </c>
      <c r="F5" s="179">
        <v>6212</v>
      </c>
      <c r="G5" s="184">
        <f t="shared" si="1"/>
        <v>0.88490028490028494</v>
      </c>
      <c r="H5" s="186">
        <v>2552000</v>
      </c>
      <c r="I5" s="179">
        <v>2385694</v>
      </c>
      <c r="J5" s="184">
        <f t="shared" si="2"/>
        <v>0.93483307210031352</v>
      </c>
    </row>
    <row r="6" spans="1:10" ht="13.5" customHeight="1" x14ac:dyDescent="0.2">
      <c r="A6" s="182" t="s">
        <v>170</v>
      </c>
      <c r="B6" s="183">
        <v>3560</v>
      </c>
      <c r="C6" s="179">
        <v>3543</v>
      </c>
      <c r="D6" s="184">
        <f t="shared" si="0"/>
        <v>0.99522471910112364</v>
      </c>
      <c r="E6" s="185">
        <v>13200</v>
      </c>
      <c r="F6" s="179">
        <v>9758</v>
      </c>
      <c r="G6" s="184">
        <f t="shared" si="1"/>
        <v>0.73924242424242426</v>
      </c>
      <c r="H6" s="186">
        <v>1960000</v>
      </c>
      <c r="I6" s="179">
        <v>1612812</v>
      </c>
      <c r="J6" s="184">
        <f t="shared" si="2"/>
        <v>0.82286326530612242</v>
      </c>
    </row>
    <row r="7" spans="1:10" ht="13.5" customHeight="1" x14ac:dyDescent="0.2">
      <c r="A7" s="182" t="s">
        <v>171</v>
      </c>
      <c r="B7" s="183">
        <v>46300</v>
      </c>
      <c r="C7" s="179">
        <v>37638</v>
      </c>
      <c r="D7" s="184">
        <f t="shared" si="0"/>
        <v>0.81291576673866095</v>
      </c>
      <c r="E7" s="185">
        <v>136000</v>
      </c>
      <c r="F7" s="179">
        <v>74907</v>
      </c>
      <c r="G7" s="184">
        <f t="shared" si="1"/>
        <v>0.55078676470588239</v>
      </c>
      <c r="H7" s="186">
        <v>25000000</v>
      </c>
      <c r="I7" s="179">
        <v>16701723</v>
      </c>
      <c r="J7" s="184">
        <f t="shared" si="2"/>
        <v>0.66806891999999996</v>
      </c>
    </row>
    <row r="8" spans="1:10" ht="13.5" customHeight="1" x14ac:dyDescent="0.2">
      <c r="A8" s="182" t="s">
        <v>172</v>
      </c>
      <c r="B8" s="183">
        <v>10320</v>
      </c>
      <c r="C8" s="179">
        <v>10744</v>
      </c>
      <c r="D8" s="184">
        <f t="shared" si="0"/>
        <v>1.0410852713178294</v>
      </c>
      <c r="E8" s="185">
        <v>30960</v>
      </c>
      <c r="F8" s="179">
        <v>34676</v>
      </c>
      <c r="G8" s="184">
        <f t="shared" si="1"/>
        <v>1.1200258397932816</v>
      </c>
      <c r="H8" s="186">
        <v>9600000</v>
      </c>
      <c r="I8" s="179">
        <v>9497940</v>
      </c>
      <c r="J8" s="184">
        <f t="shared" si="2"/>
        <v>0.98936875000000002</v>
      </c>
    </row>
    <row r="9" spans="1:10" ht="13.5" customHeight="1" x14ac:dyDescent="0.2">
      <c r="A9" s="182" t="s">
        <v>137</v>
      </c>
      <c r="B9" s="183">
        <v>2700</v>
      </c>
      <c r="C9" s="179">
        <v>2827</v>
      </c>
      <c r="D9" s="184">
        <f t="shared" si="0"/>
        <v>1.047037037037037</v>
      </c>
      <c r="E9" s="185">
        <v>5400</v>
      </c>
      <c r="F9" s="179">
        <v>5388</v>
      </c>
      <c r="G9" s="184">
        <f t="shared" si="1"/>
        <v>0.99777777777777776</v>
      </c>
      <c r="H9" s="186">
        <v>6360000</v>
      </c>
      <c r="I9" s="179">
        <v>5951067</v>
      </c>
      <c r="J9" s="184">
        <f t="shared" si="2"/>
        <v>0.93570235849056604</v>
      </c>
    </row>
    <row r="10" spans="1:10" ht="13.5" customHeight="1" x14ac:dyDescent="0.2">
      <c r="A10" s="182" t="s">
        <v>157</v>
      </c>
      <c r="B10" s="183">
        <v>21500</v>
      </c>
      <c r="C10" s="179">
        <v>21188</v>
      </c>
      <c r="D10" s="184">
        <f t="shared" si="0"/>
        <v>0.9854883720930232</v>
      </c>
      <c r="E10" s="185">
        <v>153600</v>
      </c>
      <c r="F10" s="179">
        <v>151715</v>
      </c>
      <c r="G10" s="184">
        <f t="shared" si="1"/>
        <v>0.98772786458333328</v>
      </c>
      <c r="H10" s="186">
        <v>20987000</v>
      </c>
      <c r="I10" s="179">
        <v>21553536</v>
      </c>
      <c r="J10" s="184">
        <f t="shared" si="2"/>
        <v>1.02699461571449</v>
      </c>
    </row>
    <row r="11" spans="1:10" ht="13.5" customHeight="1" x14ac:dyDescent="0.2">
      <c r="A11" s="182" t="s">
        <v>149</v>
      </c>
      <c r="B11" s="183">
        <v>9850</v>
      </c>
      <c r="C11" s="179">
        <v>9896</v>
      </c>
      <c r="D11" s="184">
        <f t="shared" si="0"/>
        <v>1.0046700507614212</v>
      </c>
      <c r="E11" s="185">
        <v>40200</v>
      </c>
      <c r="F11" s="179">
        <v>42308</v>
      </c>
      <c r="G11" s="184">
        <f t="shared" si="1"/>
        <v>1.0524378109452737</v>
      </c>
      <c r="H11" s="186">
        <v>13500000</v>
      </c>
      <c r="I11" s="179">
        <v>10269397</v>
      </c>
      <c r="J11" s="184">
        <f t="shared" si="2"/>
        <v>0.76069607407407402</v>
      </c>
    </row>
    <row r="12" spans="1:10" ht="13.5" customHeight="1" x14ac:dyDescent="0.2">
      <c r="A12" s="182" t="s">
        <v>138</v>
      </c>
      <c r="B12" s="183">
        <v>11200</v>
      </c>
      <c r="C12" s="179">
        <v>11856</v>
      </c>
      <c r="D12" s="184">
        <f t="shared" si="0"/>
        <v>1.0585714285714285</v>
      </c>
      <c r="E12" s="185">
        <v>27200</v>
      </c>
      <c r="F12" s="179">
        <v>29807</v>
      </c>
      <c r="G12" s="184">
        <f t="shared" si="1"/>
        <v>1.0958455882352942</v>
      </c>
      <c r="H12" s="186">
        <v>22500000</v>
      </c>
      <c r="I12" s="179">
        <v>23689460</v>
      </c>
      <c r="J12" s="184">
        <f t="shared" si="2"/>
        <v>1.052864888888889</v>
      </c>
    </row>
    <row r="13" spans="1:10" ht="13.5" customHeight="1" x14ac:dyDescent="0.2">
      <c r="A13" s="182" t="s">
        <v>155</v>
      </c>
      <c r="B13" s="183">
        <v>4350</v>
      </c>
      <c r="C13" s="179">
        <v>4092</v>
      </c>
      <c r="D13" s="184">
        <f t="shared" si="0"/>
        <v>0.94068965517241376</v>
      </c>
      <c r="E13" s="185">
        <v>7680</v>
      </c>
      <c r="F13" s="179">
        <v>6060</v>
      </c>
      <c r="G13" s="184">
        <f t="shared" si="1"/>
        <v>0.7890625</v>
      </c>
      <c r="H13" s="186">
        <v>14701000</v>
      </c>
      <c r="I13" s="179">
        <v>8097864</v>
      </c>
      <c r="J13" s="184">
        <f t="shared" si="2"/>
        <v>0.55083763009319098</v>
      </c>
    </row>
    <row r="14" spans="1:10" ht="13.5" customHeight="1" x14ac:dyDescent="0.2">
      <c r="A14" s="182" t="s">
        <v>173</v>
      </c>
      <c r="B14" s="183">
        <v>12300</v>
      </c>
      <c r="C14" s="179">
        <v>12600</v>
      </c>
      <c r="D14" s="184">
        <f t="shared" si="0"/>
        <v>1.024390243902439</v>
      </c>
      <c r="E14" s="185">
        <v>37700</v>
      </c>
      <c r="F14" s="179">
        <v>43437</v>
      </c>
      <c r="G14" s="184">
        <f t="shared" si="1"/>
        <v>1.1521750663129973</v>
      </c>
      <c r="H14" s="186">
        <v>17200000</v>
      </c>
      <c r="I14" s="179">
        <v>15119274</v>
      </c>
      <c r="J14" s="184">
        <f t="shared" si="2"/>
        <v>0.87902755813953493</v>
      </c>
    </row>
    <row r="15" spans="1:10" ht="13.5" customHeight="1" x14ac:dyDescent="0.2">
      <c r="A15" s="182" t="s">
        <v>151</v>
      </c>
      <c r="B15" s="183">
        <v>7150</v>
      </c>
      <c r="C15" s="179">
        <v>7943</v>
      </c>
      <c r="D15" s="184">
        <f t="shared" si="0"/>
        <v>1.1109090909090908</v>
      </c>
      <c r="E15" s="185">
        <v>29900</v>
      </c>
      <c r="F15" s="179">
        <v>28732</v>
      </c>
      <c r="G15" s="184">
        <f t="shared" si="1"/>
        <v>0.9609364548494983</v>
      </c>
      <c r="H15" s="186">
        <v>12500000</v>
      </c>
      <c r="I15" s="179">
        <v>10496954</v>
      </c>
      <c r="J15" s="184">
        <f t="shared" si="2"/>
        <v>0.83975632</v>
      </c>
    </row>
    <row r="16" spans="1:10" ht="13.5" customHeight="1" x14ac:dyDescent="0.2">
      <c r="A16" s="187" t="s">
        <v>174</v>
      </c>
      <c r="B16" s="188">
        <v>17500</v>
      </c>
      <c r="C16" s="179">
        <v>16351</v>
      </c>
      <c r="D16" s="184">
        <f t="shared" si="0"/>
        <v>0.93434285714285714</v>
      </c>
      <c r="E16" s="189">
        <v>175000</v>
      </c>
      <c r="F16" s="179">
        <v>178270</v>
      </c>
      <c r="G16" s="184">
        <f t="shared" si="1"/>
        <v>1.0186857142857142</v>
      </c>
      <c r="H16" s="190">
        <v>25600000</v>
      </c>
      <c r="I16" s="179">
        <v>25260256</v>
      </c>
      <c r="J16" s="184">
        <f t="shared" si="2"/>
        <v>0.98672875000000004</v>
      </c>
    </row>
    <row r="17" spans="1:10" ht="13.5" customHeight="1" x14ac:dyDescent="0.2">
      <c r="A17" s="187" t="s">
        <v>175</v>
      </c>
      <c r="B17" s="188">
        <v>35750</v>
      </c>
      <c r="C17" s="179">
        <v>35909</v>
      </c>
      <c r="D17" s="184">
        <f t="shared" si="0"/>
        <v>1.0044475524475525</v>
      </c>
      <c r="E17" s="189">
        <v>93450</v>
      </c>
      <c r="F17" s="179">
        <v>94828</v>
      </c>
      <c r="G17" s="184">
        <f t="shared" si="1"/>
        <v>1.0147458533975389</v>
      </c>
      <c r="H17" s="190">
        <v>69300000</v>
      </c>
      <c r="I17" s="179">
        <v>64476056</v>
      </c>
      <c r="J17" s="184">
        <f t="shared" si="2"/>
        <v>0.93039041847041848</v>
      </c>
    </row>
    <row r="18" spans="1:10" ht="13.5" customHeight="1" x14ac:dyDescent="0.2">
      <c r="A18" s="187" t="s">
        <v>139</v>
      </c>
      <c r="B18" s="188">
        <v>27400</v>
      </c>
      <c r="C18" s="179">
        <v>26208</v>
      </c>
      <c r="D18" s="184">
        <f t="shared" si="0"/>
        <v>0.9564963503649635</v>
      </c>
      <c r="E18" s="189">
        <v>137000</v>
      </c>
      <c r="F18" s="179">
        <v>126305</v>
      </c>
      <c r="G18" s="184">
        <f t="shared" si="1"/>
        <v>0.92193430656934305</v>
      </c>
      <c r="H18" s="190">
        <v>44800000</v>
      </c>
      <c r="I18" s="179">
        <v>40952089</v>
      </c>
      <c r="J18" s="184">
        <f t="shared" si="2"/>
        <v>0.91410912946428569</v>
      </c>
    </row>
    <row r="19" spans="1:10" ht="13.5" customHeight="1" x14ac:dyDescent="0.2">
      <c r="A19" s="187" t="s">
        <v>140</v>
      </c>
      <c r="B19" s="188">
        <v>13150</v>
      </c>
      <c r="C19" s="179">
        <v>12799</v>
      </c>
      <c r="D19" s="184">
        <f t="shared" si="0"/>
        <v>0.97330798479087455</v>
      </c>
      <c r="E19" s="189">
        <v>123610</v>
      </c>
      <c r="F19" s="179">
        <v>55667</v>
      </c>
      <c r="G19" s="184">
        <f t="shared" si="1"/>
        <v>0.45034382331526573</v>
      </c>
      <c r="H19" s="190">
        <v>22924500</v>
      </c>
      <c r="I19" s="179">
        <v>18327581</v>
      </c>
      <c r="J19" s="184">
        <f t="shared" si="2"/>
        <v>0.79947571375602522</v>
      </c>
    </row>
    <row r="20" spans="1:10" ht="13.5" customHeight="1" x14ac:dyDescent="0.2">
      <c r="A20" s="187" t="s">
        <v>146</v>
      </c>
      <c r="B20" s="188">
        <v>13680</v>
      </c>
      <c r="C20" s="179">
        <v>12991</v>
      </c>
      <c r="D20" s="184">
        <f t="shared" si="0"/>
        <v>0.94963450292397655</v>
      </c>
      <c r="E20" s="189">
        <v>60480</v>
      </c>
      <c r="F20" s="179">
        <v>118739</v>
      </c>
      <c r="G20" s="184">
        <f t="shared" si="1"/>
        <v>1.9632771164021163</v>
      </c>
      <c r="H20" s="190">
        <v>20016000</v>
      </c>
      <c r="I20" s="179">
        <v>20655472</v>
      </c>
      <c r="J20" s="184">
        <f t="shared" si="2"/>
        <v>1.0319480415667466</v>
      </c>
    </row>
    <row r="21" spans="1:10" ht="13.5" customHeight="1" x14ac:dyDescent="0.2">
      <c r="A21" s="187" t="s">
        <v>152</v>
      </c>
      <c r="B21" s="188">
        <v>11050</v>
      </c>
      <c r="C21" s="179">
        <v>10287</v>
      </c>
      <c r="D21" s="184">
        <f t="shared" si="0"/>
        <v>0.93095022624434387</v>
      </c>
      <c r="E21" s="189">
        <v>45400</v>
      </c>
      <c r="F21" s="179">
        <v>49785</v>
      </c>
      <c r="G21" s="184">
        <f t="shared" si="1"/>
        <v>1.0965859030837004</v>
      </c>
      <c r="H21" s="190">
        <v>15900000</v>
      </c>
      <c r="I21" s="179">
        <v>15825308</v>
      </c>
      <c r="J21" s="184">
        <f t="shared" si="2"/>
        <v>0.99530238993710696</v>
      </c>
    </row>
    <row r="22" spans="1:10" ht="13.5" customHeight="1" thickBot="1" x14ac:dyDescent="0.25">
      <c r="A22" s="191" t="s">
        <v>176</v>
      </c>
      <c r="B22" s="192">
        <f>SUM(B3:B21)</f>
        <v>252860</v>
      </c>
      <c r="C22" s="193">
        <f>SUM(C3:C21)</f>
        <v>241973</v>
      </c>
      <c r="D22" s="194">
        <f t="shared" si="0"/>
        <v>0.95694455429882153</v>
      </c>
      <c r="E22" s="192">
        <f>SUM(E3:E21)</f>
        <v>1136453</v>
      </c>
      <c r="F22" s="193">
        <f>SUM(F3:F21)</f>
        <v>1070349</v>
      </c>
      <c r="G22" s="194">
        <f t="shared" si="1"/>
        <v>0.94183305424861385</v>
      </c>
      <c r="H22" s="192">
        <f>SUM(H3:H21)</f>
        <v>349165800</v>
      </c>
      <c r="I22" s="193">
        <f>SUM(I3:I21)</f>
        <v>314896161</v>
      </c>
      <c r="J22" s="194">
        <f t="shared" si="2"/>
        <v>0.9018528189186914</v>
      </c>
    </row>
    <row r="23" spans="1:10" ht="12" customHeight="1" thickBot="1" x14ac:dyDescent="0.25">
      <c r="H23" s="195"/>
      <c r="I23" s="195"/>
    </row>
    <row r="24" spans="1:10" ht="13.5" customHeight="1" x14ac:dyDescent="0.2">
      <c r="A24" s="196" t="s">
        <v>148</v>
      </c>
      <c r="B24" s="197">
        <v>1425</v>
      </c>
      <c r="C24" s="198">
        <v>1533</v>
      </c>
      <c r="D24" s="199">
        <f t="shared" ref="D24:D34" si="3">C24/B24</f>
        <v>1.0757894736842106</v>
      </c>
      <c r="E24" s="198">
        <v>16810</v>
      </c>
      <c r="F24" s="198">
        <v>20589</v>
      </c>
      <c r="G24" s="200">
        <f t="shared" ref="G24:G34" si="4">F24/E24</f>
        <v>1.2248066627007734</v>
      </c>
      <c r="H24" s="201">
        <v>6100000</v>
      </c>
      <c r="I24" s="198">
        <v>6836002</v>
      </c>
      <c r="J24" s="199">
        <f t="shared" ref="J24:J34" si="5">I24/H24</f>
        <v>1.1206560655737705</v>
      </c>
    </row>
    <row r="25" spans="1:10" ht="13.5" customHeight="1" x14ac:dyDescent="0.2">
      <c r="A25" s="182" t="s">
        <v>147</v>
      </c>
      <c r="B25" s="183">
        <v>14800</v>
      </c>
      <c r="C25" s="179">
        <v>15501</v>
      </c>
      <c r="D25" s="184">
        <f t="shared" si="3"/>
        <v>1.0473648648648648</v>
      </c>
      <c r="E25" s="185">
        <v>51490</v>
      </c>
      <c r="F25" s="179">
        <v>73758</v>
      </c>
      <c r="G25" s="184">
        <f t="shared" si="4"/>
        <v>1.4324723247232471</v>
      </c>
      <c r="H25" s="186">
        <v>19900000</v>
      </c>
      <c r="I25" s="179">
        <v>18919043</v>
      </c>
      <c r="J25" s="184">
        <f t="shared" si="5"/>
        <v>0.95070567839195985</v>
      </c>
    </row>
    <row r="26" spans="1:10" ht="13.5" customHeight="1" x14ac:dyDescent="0.2">
      <c r="A26" s="182" t="s">
        <v>171</v>
      </c>
      <c r="B26" s="183">
        <v>23600</v>
      </c>
      <c r="C26" s="179">
        <v>27475</v>
      </c>
      <c r="D26" s="184">
        <f t="shared" si="3"/>
        <v>1.1641949152542372</v>
      </c>
      <c r="E26" s="185">
        <v>84600</v>
      </c>
      <c r="F26" s="179">
        <v>67037</v>
      </c>
      <c r="G26" s="202">
        <f t="shared" si="4"/>
        <v>0.79239952718676121</v>
      </c>
      <c r="H26" s="203">
        <v>20050000</v>
      </c>
      <c r="I26" s="179">
        <v>14067733</v>
      </c>
      <c r="J26" s="184">
        <f t="shared" si="5"/>
        <v>0.70163256857855361</v>
      </c>
    </row>
    <row r="27" spans="1:10" ht="13.5" customHeight="1" x14ac:dyDescent="0.2">
      <c r="A27" s="182" t="s">
        <v>172</v>
      </c>
      <c r="B27" s="183">
        <v>10320</v>
      </c>
      <c r="C27" s="179">
        <v>11542</v>
      </c>
      <c r="D27" s="184">
        <f t="shared" si="3"/>
        <v>1.1184108527131782</v>
      </c>
      <c r="E27" s="185">
        <v>30960</v>
      </c>
      <c r="F27" s="179">
        <v>51844</v>
      </c>
      <c r="G27" s="202">
        <f t="shared" si="4"/>
        <v>1.6745478036175712</v>
      </c>
      <c r="H27" s="203">
        <v>9600000</v>
      </c>
      <c r="I27" s="179">
        <v>12035158</v>
      </c>
      <c r="J27" s="184">
        <f t="shared" si="5"/>
        <v>1.2536622916666667</v>
      </c>
    </row>
    <row r="28" spans="1:10" ht="13.5" customHeight="1" x14ac:dyDescent="0.2">
      <c r="A28" s="182" t="s">
        <v>157</v>
      </c>
      <c r="B28" s="183">
        <v>20200</v>
      </c>
      <c r="C28" s="179">
        <v>18114</v>
      </c>
      <c r="D28" s="184">
        <f t="shared" si="3"/>
        <v>0.89673267326732675</v>
      </c>
      <c r="E28" s="185">
        <v>144000</v>
      </c>
      <c r="F28" s="179">
        <v>121202</v>
      </c>
      <c r="G28" s="202">
        <f t="shared" si="4"/>
        <v>0.84168055555555554</v>
      </c>
      <c r="H28" s="203">
        <v>17400000</v>
      </c>
      <c r="I28" s="179">
        <v>15801198</v>
      </c>
      <c r="J28" s="184">
        <f t="shared" si="5"/>
        <v>0.90811482758620687</v>
      </c>
    </row>
    <row r="29" spans="1:10" ht="13.5" customHeight="1" x14ac:dyDescent="0.2">
      <c r="A29" s="182" t="s">
        <v>149</v>
      </c>
      <c r="B29" s="183">
        <v>9050</v>
      </c>
      <c r="C29" s="179">
        <v>8938</v>
      </c>
      <c r="D29" s="184">
        <f t="shared" si="3"/>
        <v>0.9876243093922652</v>
      </c>
      <c r="E29" s="185">
        <v>39800</v>
      </c>
      <c r="F29" s="179">
        <v>53998</v>
      </c>
      <c r="G29" s="202">
        <f t="shared" si="4"/>
        <v>1.3567336683417086</v>
      </c>
      <c r="H29" s="203">
        <v>12700000</v>
      </c>
      <c r="I29" s="179">
        <v>14339250</v>
      </c>
      <c r="J29" s="184">
        <f t="shared" si="5"/>
        <v>1.1290748031496063</v>
      </c>
    </row>
    <row r="30" spans="1:10" ht="13.5" customHeight="1" x14ac:dyDescent="0.2">
      <c r="A30" s="182" t="s">
        <v>173</v>
      </c>
      <c r="B30" s="183">
        <v>10600</v>
      </c>
      <c r="C30" s="179">
        <v>10615</v>
      </c>
      <c r="D30" s="184">
        <f t="shared" si="3"/>
        <v>1.0014150943396227</v>
      </c>
      <c r="E30" s="185">
        <v>37300</v>
      </c>
      <c r="F30" s="179">
        <v>41268</v>
      </c>
      <c r="G30" s="202">
        <f t="shared" si="4"/>
        <v>1.1063806970509384</v>
      </c>
      <c r="H30" s="203">
        <v>13500000</v>
      </c>
      <c r="I30" s="179">
        <v>13615346</v>
      </c>
      <c r="J30" s="184">
        <f t="shared" si="5"/>
        <v>1.0085441481481481</v>
      </c>
    </row>
    <row r="31" spans="1:10" ht="13.5" customHeight="1" x14ac:dyDescent="0.2">
      <c r="A31" s="182" t="s">
        <v>174</v>
      </c>
      <c r="B31" s="183">
        <v>18700</v>
      </c>
      <c r="C31" s="179">
        <v>17720</v>
      </c>
      <c r="D31" s="184">
        <f t="shared" si="3"/>
        <v>0.94759358288770057</v>
      </c>
      <c r="E31" s="185">
        <v>149500</v>
      </c>
      <c r="F31" s="179">
        <v>152552</v>
      </c>
      <c r="G31" s="202">
        <f t="shared" si="4"/>
        <v>1.0204147157190635</v>
      </c>
      <c r="H31" s="203">
        <v>27300000</v>
      </c>
      <c r="I31" s="179">
        <v>27504659</v>
      </c>
      <c r="J31" s="184">
        <f t="shared" si="5"/>
        <v>1.0074966666666667</v>
      </c>
    </row>
    <row r="32" spans="1:10" ht="13.5" customHeight="1" x14ac:dyDescent="0.2">
      <c r="A32" s="182" t="s">
        <v>146</v>
      </c>
      <c r="B32" s="183">
        <v>12450</v>
      </c>
      <c r="C32" s="179">
        <v>12019</v>
      </c>
      <c r="D32" s="184">
        <f t="shared" si="3"/>
        <v>0.96538152610441763</v>
      </c>
      <c r="E32" s="185">
        <v>122010</v>
      </c>
      <c r="F32" s="179">
        <v>129832</v>
      </c>
      <c r="G32" s="202">
        <f t="shared" si="4"/>
        <v>1.0641094992213753</v>
      </c>
      <c r="H32" s="203">
        <v>21785000</v>
      </c>
      <c r="I32" s="179">
        <v>20861832</v>
      </c>
      <c r="J32" s="184">
        <f t="shared" si="5"/>
        <v>0.95762368602249259</v>
      </c>
    </row>
    <row r="33" spans="1:10" ht="13.5" customHeight="1" x14ac:dyDescent="0.2">
      <c r="A33" s="182" t="s">
        <v>152</v>
      </c>
      <c r="B33" s="183">
        <v>11220</v>
      </c>
      <c r="C33" s="179">
        <v>12142</v>
      </c>
      <c r="D33" s="184">
        <f t="shared" si="3"/>
        <v>1.0821746880570411</v>
      </c>
      <c r="E33" s="185">
        <v>40600</v>
      </c>
      <c r="F33" s="179">
        <v>40938</v>
      </c>
      <c r="G33" s="202">
        <f t="shared" si="4"/>
        <v>1.0083251231527093</v>
      </c>
      <c r="H33" s="203">
        <v>14200000</v>
      </c>
      <c r="I33" s="179">
        <v>14158244</v>
      </c>
      <c r="J33" s="184">
        <f t="shared" si="5"/>
        <v>0.9970594366197183</v>
      </c>
    </row>
    <row r="34" spans="1:10" ht="13.5" customHeight="1" thickBot="1" x14ac:dyDescent="0.25">
      <c r="A34" s="191" t="s">
        <v>177</v>
      </c>
      <c r="B34" s="192">
        <f>SUM(B24:B33)</f>
        <v>132365</v>
      </c>
      <c r="C34" s="204">
        <f>SUM(C24:C33)</f>
        <v>135599</v>
      </c>
      <c r="D34" s="194">
        <f t="shared" si="3"/>
        <v>1.0244324405998564</v>
      </c>
      <c r="E34" s="193">
        <f>SUM(E24:E33)</f>
        <v>717070</v>
      </c>
      <c r="F34" s="204">
        <f>SUM(F24:F33)</f>
        <v>753018</v>
      </c>
      <c r="G34" s="205">
        <f t="shared" si="4"/>
        <v>1.0501317862970143</v>
      </c>
      <c r="H34" s="192">
        <f>SUM(H24:H33)</f>
        <v>162535000</v>
      </c>
      <c r="I34" s="204">
        <f>SUM(I24:I33)</f>
        <v>158138465</v>
      </c>
      <c r="J34" s="194">
        <f t="shared" si="5"/>
        <v>0.97295022610514659</v>
      </c>
    </row>
    <row r="35" spans="1:10" ht="12" customHeight="1" thickBot="1" x14ac:dyDescent="0.25">
      <c r="H35" s="195"/>
      <c r="I35" s="195"/>
    </row>
    <row r="36" spans="1:10" ht="13.5" customHeight="1" thickBot="1" x14ac:dyDescent="0.25">
      <c r="A36" s="206" t="s">
        <v>178</v>
      </c>
      <c r="B36" s="207">
        <f>SUM(B22,B34)</f>
        <v>385225</v>
      </c>
      <c r="C36" s="208">
        <f>SUM(C34,C22)</f>
        <v>377572</v>
      </c>
      <c r="D36" s="209">
        <f>C36/B36</f>
        <v>0.98013368810435464</v>
      </c>
      <c r="E36" s="210">
        <f>SUM(E22,E34)</f>
        <v>1853523</v>
      </c>
      <c r="F36" s="208">
        <f>SUM(F34,F22)</f>
        <v>1823367</v>
      </c>
      <c r="G36" s="211">
        <f>F36/E36</f>
        <v>0.98373044197455328</v>
      </c>
      <c r="H36" s="207">
        <f>SUM(H22,H34)</f>
        <v>511700800</v>
      </c>
      <c r="I36" s="208">
        <f>SUM(I34,I22)</f>
        <v>473034626</v>
      </c>
      <c r="J36" s="209">
        <f>I36/H36</f>
        <v>0.92443597117690646</v>
      </c>
    </row>
    <row r="37" spans="1:10" ht="12" customHeight="1" thickBot="1" x14ac:dyDescent="0.25">
      <c r="H37" s="195"/>
      <c r="I37" s="195"/>
    </row>
    <row r="38" spans="1:10" ht="13.5" customHeight="1" thickBot="1" x14ac:dyDescent="0.25">
      <c r="A38" s="212" t="s">
        <v>179</v>
      </c>
      <c r="B38" s="213">
        <v>68000</v>
      </c>
      <c r="C38" s="214">
        <v>73489</v>
      </c>
      <c r="D38" s="215">
        <f>C38/B38</f>
        <v>1.0807205882352942</v>
      </c>
      <c r="E38" s="214">
        <v>1130000</v>
      </c>
      <c r="F38" s="214">
        <v>1340376</v>
      </c>
      <c r="G38" s="215">
        <f>F38/E38</f>
        <v>1.1861734513274336</v>
      </c>
      <c r="H38" s="216">
        <v>200000000</v>
      </c>
      <c r="I38" s="214">
        <v>224371205</v>
      </c>
      <c r="J38" s="215">
        <f>I38/H38</f>
        <v>1.121856025</v>
      </c>
    </row>
    <row r="39" spans="1:10" ht="12" customHeight="1" thickBot="1" x14ac:dyDescent="0.25">
      <c r="H39" s="195"/>
      <c r="I39" s="195"/>
    </row>
    <row r="40" spans="1:10" ht="13.5" customHeight="1" thickBot="1" x14ac:dyDescent="0.25">
      <c r="A40" s="212" t="s">
        <v>180</v>
      </c>
      <c r="B40" s="213">
        <v>6245</v>
      </c>
      <c r="C40" s="214">
        <v>7226</v>
      </c>
      <c r="D40" s="215">
        <f>C40/B40</f>
        <v>1.1570856685348279</v>
      </c>
      <c r="E40" s="214">
        <v>17780</v>
      </c>
      <c r="F40" s="214">
        <v>17564</v>
      </c>
      <c r="G40" s="215">
        <f>F40/E40</f>
        <v>0.98785151856017994</v>
      </c>
      <c r="H40" s="216">
        <v>8060000</v>
      </c>
      <c r="I40" s="214">
        <v>7529520</v>
      </c>
      <c r="J40" s="215">
        <f>I40/H40</f>
        <v>0.93418362282878409</v>
      </c>
    </row>
    <row r="41" spans="1:10" ht="12" customHeight="1" x14ac:dyDescent="0.2">
      <c r="B41" s="195"/>
    </row>
    <row r="42" spans="1:10" ht="13.5" customHeight="1" x14ac:dyDescent="0.2">
      <c r="A42" s="8"/>
      <c r="B42" s="195"/>
    </row>
    <row r="43" spans="1:10" ht="13.5" customHeight="1" x14ac:dyDescent="0.2">
      <c r="B43" s="195"/>
    </row>
  </sheetData>
  <mergeCells count="4">
    <mergeCell ref="A1:A2"/>
    <mergeCell ref="B1:D1"/>
    <mergeCell ref="E1:G1"/>
    <mergeCell ref="H1:J1"/>
  </mergeCells>
  <conditionalFormatting sqref="L1:IP23 L24:IO33 L34:IP65534 A1:K65534">
    <cfRule type="cellIs" dxfId="30" priority="2" stopIfTrue="1" operator="equal">
      <formula>0</formula>
    </cfRule>
  </conditionalFormatting>
  <printOptions horizontalCentered="1" verticalCentered="1"/>
  <pageMargins left="0" right="0" top="0.6692913385826772" bottom="0.59055118110236227" header="0.31496062992125984" footer="0.31496062992125984"/>
  <pageSetup paperSize="9" scale="86" orientation="landscape" r:id="rId1"/>
  <headerFooter alignWithMargins="0">
    <oddHeader>&amp;C&amp;"Arial CE,Félkövér"XIII. Kerületi Egészségügyi Szolgálat Közhasznú Nonprofit Kft.
2015. évi teljesítménye szakterületenkénti bontásban&amp;R2. sz. melléklet</oddHeader>
    <oddFooter>&amp;L&amp;D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zoomScale="90" zoomScaleNormal="90" workbookViewId="0">
      <selection activeCell="R2" sqref="R2"/>
    </sheetView>
  </sheetViews>
  <sheetFormatPr defaultRowHeight="26.25" customHeight="1" x14ac:dyDescent="0.2"/>
  <cols>
    <col min="1" max="1" width="14.42578125" style="3" customWidth="1"/>
    <col min="2" max="2" width="7.7109375" style="3" customWidth="1"/>
    <col min="3" max="15" width="7.7109375" style="8" customWidth="1"/>
    <col min="16" max="17" width="8.7109375" style="8" customWidth="1"/>
    <col min="18" max="264" width="9.140625" style="8"/>
    <col min="265" max="265" width="14.42578125" style="8" customWidth="1"/>
    <col min="266" max="271" width="13.7109375" style="8" customWidth="1"/>
    <col min="272" max="520" width="9.140625" style="8"/>
    <col min="521" max="521" width="14.42578125" style="8" customWidth="1"/>
    <col min="522" max="527" width="13.7109375" style="8" customWidth="1"/>
    <col min="528" max="776" width="9.140625" style="8"/>
    <col min="777" max="777" width="14.42578125" style="8" customWidth="1"/>
    <col min="778" max="783" width="13.7109375" style="8" customWidth="1"/>
    <col min="784" max="1032" width="9.140625" style="8"/>
    <col min="1033" max="1033" width="14.42578125" style="8" customWidth="1"/>
    <col min="1034" max="1039" width="13.7109375" style="8" customWidth="1"/>
    <col min="1040" max="1288" width="9.140625" style="8"/>
    <col min="1289" max="1289" width="14.42578125" style="8" customWidth="1"/>
    <col min="1290" max="1295" width="13.7109375" style="8" customWidth="1"/>
    <col min="1296" max="1544" width="9.140625" style="8"/>
    <col min="1545" max="1545" width="14.42578125" style="8" customWidth="1"/>
    <col min="1546" max="1551" width="13.7109375" style="8" customWidth="1"/>
    <col min="1552" max="1800" width="9.140625" style="8"/>
    <col min="1801" max="1801" width="14.42578125" style="8" customWidth="1"/>
    <col min="1802" max="1807" width="13.7109375" style="8" customWidth="1"/>
    <col min="1808" max="2056" width="9.140625" style="8"/>
    <col min="2057" max="2057" width="14.42578125" style="8" customWidth="1"/>
    <col min="2058" max="2063" width="13.7109375" style="8" customWidth="1"/>
    <col min="2064" max="2312" width="9.140625" style="8"/>
    <col min="2313" max="2313" width="14.42578125" style="8" customWidth="1"/>
    <col min="2314" max="2319" width="13.7109375" style="8" customWidth="1"/>
    <col min="2320" max="2568" width="9.140625" style="8"/>
    <col min="2569" max="2569" width="14.42578125" style="8" customWidth="1"/>
    <col min="2570" max="2575" width="13.7109375" style="8" customWidth="1"/>
    <col min="2576" max="2824" width="9.140625" style="8"/>
    <col min="2825" max="2825" width="14.42578125" style="8" customWidth="1"/>
    <col min="2826" max="2831" width="13.7109375" style="8" customWidth="1"/>
    <col min="2832" max="3080" width="9.140625" style="8"/>
    <col min="3081" max="3081" width="14.42578125" style="8" customWidth="1"/>
    <col min="3082" max="3087" width="13.7109375" style="8" customWidth="1"/>
    <col min="3088" max="3336" width="9.140625" style="8"/>
    <col min="3337" max="3337" width="14.42578125" style="8" customWidth="1"/>
    <col min="3338" max="3343" width="13.7109375" style="8" customWidth="1"/>
    <col min="3344" max="3592" width="9.140625" style="8"/>
    <col min="3593" max="3593" width="14.42578125" style="8" customWidth="1"/>
    <col min="3594" max="3599" width="13.7109375" style="8" customWidth="1"/>
    <col min="3600" max="3848" width="9.140625" style="8"/>
    <col min="3849" max="3849" width="14.42578125" style="8" customWidth="1"/>
    <col min="3850" max="3855" width="13.7109375" style="8" customWidth="1"/>
    <col min="3856" max="4104" width="9.140625" style="8"/>
    <col min="4105" max="4105" width="14.42578125" style="8" customWidth="1"/>
    <col min="4106" max="4111" width="13.7109375" style="8" customWidth="1"/>
    <col min="4112" max="4360" width="9.140625" style="8"/>
    <col min="4361" max="4361" width="14.42578125" style="8" customWidth="1"/>
    <col min="4362" max="4367" width="13.7109375" style="8" customWidth="1"/>
    <col min="4368" max="4616" width="9.140625" style="8"/>
    <col min="4617" max="4617" width="14.42578125" style="8" customWidth="1"/>
    <col min="4618" max="4623" width="13.7109375" style="8" customWidth="1"/>
    <col min="4624" max="4872" width="9.140625" style="8"/>
    <col min="4873" max="4873" width="14.42578125" style="8" customWidth="1"/>
    <col min="4874" max="4879" width="13.7109375" style="8" customWidth="1"/>
    <col min="4880" max="5128" width="9.140625" style="8"/>
    <col min="5129" max="5129" width="14.42578125" style="8" customWidth="1"/>
    <col min="5130" max="5135" width="13.7109375" style="8" customWidth="1"/>
    <col min="5136" max="5384" width="9.140625" style="8"/>
    <col min="5385" max="5385" width="14.42578125" style="8" customWidth="1"/>
    <col min="5386" max="5391" width="13.7109375" style="8" customWidth="1"/>
    <col min="5392" max="5640" width="9.140625" style="8"/>
    <col min="5641" max="5641" width="14.42578125" style="8" customWidth="1"/>
    <col min="5642" max="5647" width="13.7109375" style="8" customWidth="1"/>
    <col min="5648" max="5896" width="9.140625" style="8"/>
    <col min="5897" max="5897" width="14.42578125" style="8" customWidth="1"/>
    <col min="5898" max="5903" width="13.7109375" style="8" customWidth="1"/>
    <col min="5904" max="6152" width="9.140625" style="8"/>
    <col min="6153" max="6153" width="14.42578125" style="8" customWidth="1"/>
    <col min="6154" max="6159" width="13.7109375" style="8" customWidth="1"/>
    <col min="6160" max="6408" width="9.140625" style="8"/>
    <col min="6409" max="6409" width="14.42578125" style="8" customWidth="1"/>
    <col min="6410" max="6415" width="13.7109375" style="8" customWidth="1"/>
    <col min="6416" max="6664" width="9.140625" style="8"/>
    <col min="6665" max="6665" width="14.42578125" style="8" customWidth="1"/>
    <col min="6666" max="6671" width="13.7109375" style="8" customWidth="1"/>
    <col min="6672" max="6920" width="9.140625" style="8"/>
    <col min="6921" max="6921" width="14.42578125" style="8" customWidth="1"/>
    <col min="6922" max="6927" width="13.7109375" style="8" customWidth="1"/>
    <col min="6928" max="7176" width="9.140625" style="8"/>
    <col min="7177" max="7177" width="14.42578125" style="8" customWidth="1"/>
    <col min="7178" max="7183" width="13.7109375" style="8" customWidth="1"/>
    <col min="7184" max="7432" width="9.140625" style="8"/>
    <col min="7433" max="7433" width="14.42578125" style="8" customWidth="1"/>
    <col min="7434" max="7439" width="13.7109375" style="8" customWidth="1"/>
    <col min="7440" max="7688" width="9.140625" style="8"/>
    <col min="7689" max="7689" width="14.42578125" style="8" customWidth="1"/>
    <col min="7690" max="7695" width="13.7109375" style="8" customWidth="1"/>
    <col min="7696" max="7944" width="9.140625" style="8"/>
    <col min="7945" max="7945" width="14.42578125" style="8" customWidth="1"/>
    <col min="7946" max="7951" width="13.7109375" style="8" customWidth="1"/>
    <col min="7952" max="8200" width="9.140625" style="8"/>
    <col min="8201" max="8201" width="14.42578125" style="8" customWidth="1"/>
    <col min="8202" max="8207" width="13.7109375" style="8" customWidth="1"/>
    <col min="8208" max="8456" width="9.140625" style="8"/>
    <col min="8457" max="8457" width="14.42578125" style="8" customWidth="1"/>
    <col min="8458" max="8463" width="13.7109375" style="8" customWidth="1"/>
    <col min="8464" max="8712" width="9.140625" style="8"/>
    <col min="8713" max="8713" width="14.42578125" style="8" customWidth="1"/>
    <col min="8714" max="8719" width="13.7109375" style="8" customWidth="1"/>
    <col min="8720" max="8968" width="9.140625" style="8"/>
    <col min="8969" max="8969" width="14.42578125" style="8" customWidth="1"/>
    <col min="8970" max="8975" width="13.7109375" style="8" customWidth="1"/>
    <col min="8976" max="9224" width="9.140625" style="8"/>
    <col min="9225" max="9225" width="14.42578125" style="8" customWidth="1"/>
    <col min="9226" max="9231" width="13.7109375" style="8" customWidth="1"/>
    <col min="9232" max="9480" width="9.140625" style="8"/>
    <col min="9481" max="9481" width="14.42578125" style="8" customWidth="1"/>
    <col min="9482" max="9487" width="13.7109375" style="8" customWidth="1"/>
    <col min="9488" max="9736" width="9.140625" style="8"/>
    <col min="9737" max="9737" width="14.42578125" style="8" customWidth="1"/>
    <col min="9738" max="9743" width="13.7109375" style="8" customWidth="1"/>
    <col min="9744" max="9992" width="9.140625" style="8"/>
    <col min="9993" max="9993" width="14.42578125" style="8" customWidth="1"/>
    <col min="9994" max="9999" width="13.7109375" style="8" customWidth="1"/>
    <col min="10000" max="10248" width="9.140625" style="8"/>
    <col min="10249" max="10249" width="14.42578125" style="8" customWidth="1"/>
    <col min="10250" max="10255" width="13.7109375" style="8" customWidth="1"/>
    <col min="10256" max="10504" width="9.140625" style="8"/>
    <col min="10505" max="10505" width="14.42578125" style="8" customWidth="1"/>
    <col min="10506" max="10511" width="13.7109375" style="8" customWidth="1"/>
    <col min="10512" max="10760" width="9.140625" style="8"/>
    <col min="10761" max="10761" width="14.42578125" style="8" customWidth="1"/>
    <col min="10762" max="10767" width="13.7109375" style="8" customWidth="1"/>
    <col min="10768" max="11016" width="9.140625" style="8"/>
    <col min="11017" max="11017" width="14.42578125" style="8" customWidth="1"/>
    <col min="11018" max="11023" width="13.7109375" style="8" customWidth="1"/>
    <col min="11024" max="11272" width="9.140625" style="8"/>
    <col min="11273" max="11273" width="14.42578125" style="8" customWidth="1"/>
    <col min="11274" max="11279" width="13.7109375" style="8" customWidth="1"/>
    <col min="11280" max="11528" width="9.140625" style="8"/>
    <col min="11529" max="11529" width="14.42578125" style="8" customWidth="1"/>
    <col min="11530" max="11535" width="13.7109375" style="8" customWidth="1"/>
    <col min="11536" max="11784" width="9.140625" style="8"/>
    <col min="11785" max="11785" width="14.42578125" style="8" customWidth="1"/>
    <col min="11786" max="11791" width="13.7109375" style="8" customWidth="1"/>
    <col min="11792" max="12040" width="9.140625" style="8"/>
    <col min="12041" max="12041" width="14.42578125" style="8" customWidth="1"/>
    <col min="12042" max="12047" width="13.7109375" style="8" customWidth="1"/>
    <col min="12048" max="12296" width="9.140625" style="8"/>
    <col min="12297" max="12297" width="14.42578125" style="8" customWidth="1"/>
    <col min="12298" max="12303" width="13.7109375" style="8" customWidth="1"/>
    <col min="12304" max="12552" width="9.140625" style="8"/>
    <col min="12553" max="12553" width="14.42578125" style="8" customWidth="1"/>
    <col min="12554" max="12559" width="13.7109375" style="8" customWidth="1"/>
    <col min="12560" max="12808" width="9.140625" style="8"/>
    <col min="12809" max="12809" width="14.42578125" style="8" customWidth="1"/>
    <col min="12810" max="12815" width="13.7109375" style="8" customWidth="1"/>
    <col min="12816" max="13064" width="9.140625" style="8"/>
    <col min="13065" max="13065" width="14.42578125" style="8" customWidth="1"/>
    <col min="13066" max="13071" width="13.7109375" style="8" customWidth="1"/>
    <col min="13072" max="13320" width="9.140625" style="8"/>
    <col min="13321" max="13321" width="14.42578125" style="8" customWidth="1"/>
    <col min="13322" max="13327" width="13.7109375" style="8" customWidth="1"/>
    <col min="13328" max="13576" width="9.140625" style="8"/>
    <col min="13577" max="13577" width="14.42578125" style="8" customWidth="1"/>
    <col min="13578" max="13583" width="13.7109375" style="8" customWidth="1"/>
    <col min="13584" max="13832" width="9.140625" style="8"/>
    <col min="13833" max="13833" width="14.42578125" style="8" customWidth="1"/>
    <col min="13834" max="13839" width="13.7109375" style="8" customWidth="1"/>
    <col min="13840" max="14088" width="9.140625" style="8"/>
    <col min="14089" max="14089" width="14.42578125" style="8" customWidth="1"/>
    <col min="14090" max="14095" width="13.7109375" style="8" customWidth="1"/>
    <col min="14096" max="14344" width="9.140625" style="8"/>
    <col min="14345" max="14345" width="14.42578125" style="8" customWidth="1"/>
    <col min="14346" max="14351" width="13.7109375" style="8" customWidth="1"/>
    <col min="14352" max="14600" width="9.140625" style="8"/>
    <col min="14601" max="14601" width="14.42578125" style="8" customWidth="1"/>
    <col min="14602" max="14607" width="13.7109375" style="8" customWidth="1"/>
    <col min="14608" max="14856" width="9.140625" style="8"/>
    <col min="14857" max="14857" width="14.42578125" style="8" customWidth="1"/>
    <col min="14858" max="14863" width="13.7109375" style="8" customWidth="1"/>
    <col min="14864" max="15112" width="9.140625" style="8"/>
    <col min="15113" max="15113" width="14.42578125" style="8" customWidth="1"/>
    <col min="15114" max="15119" width="13.7109375" style="8" customWidth="1"/>
    <col min="15120" max="15368" width="9.140625" style="8"/>
    <col min="15369" max="15369" width="14.42578125" style="8" customWidth="1"/>
    <col min="15370" max="15375" width="13.7109375" style="8" customWidth="1"/>
    <col min="15376" max="15624" width="9.140625" style="8"/>
    <col min="15625" max="15625" width="14.42578125" style="8" customWidth="1"/>
    <col min="15626" max="15631" width="13.7109375" style="8" customWidth="1"/>
    <col min="15632" max="15880" width="9.140625" style="8"/>
    <col min="15881" max="15881" width="14.42578125" style="8" customWidth="1"/>
    <col min="15882" max="15887" width="13.7109375" style="8" customWidth="1"/>
    <col min="15888" max="16136" width="9.140625" style="8"/>
    <col min="16137" max="16137" width="14.42578125" style="8" customWidth="1"/>
    <col min="16138" max="16143" width="13.7109375" style="8" customWidth="1"/>
    <col min="16144" max="16384" width="9.140625" style="8"/>
  </cols>
  <sheetData>
    <row r="1" spans="1:17" s="3" customFormat="1" ht="26.25" customHeight="1" x14ac:dyDescent="0.2">
      <c r="A1" s="499" t="s">
        <v>181</v>
      </c>
      <c r="B1" s="499" t="s">
        <v>182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500" t="s">
        <v>183</v>
      </c>
      <c r="O1" s="500"/>
      <c r="P1" s="500" t="s">
        <v>184</v>
      </c>
      <c r="Q1" s="500"/>
    </row>
    <row r="2" spans="1:17" s="3" customFormat="1" ht="26.25" customHeight="1" x14ac:dyDescent="0.2">
      <c r="A2" s="499"/>
      <c r="B2" s="499" t="s">
        <v>185</v>
      </c>
      <c r="C2" s="499"/>
      <c r="D2" s="499" t="s">
        <v>186</v>
      </c>
      <c r="E2" s="499"/>
      <c r="F2" s="499" t="s">
        <v>187</v>
      </c>
      <c r="G2" s="499"/>
      <c r="H2" s="499" t="s">
        <v>188</v>
      </c>
      <c r="I2" s="499"/>
      <c r="J2" s="499" t="s">
        <v>189</v>
      </c>
      <c r="K2" s="499"/>
      <c r="L2" s="499" t="s">
        <v>190</v>
      </c>
      <c r="M2" s="499"/>
      <c r="N2" s="500"/>
      <c r="O2" s="500"/>
      <c r="P2" s="500"/>
      <c r="Q2" s="500"/>
    </row>
    <row r="3" spans="1:17" s="3" customFormat="1" ht="26.25" customHeight="1" x14ac:dyDescent="0.2">
      <c r="A3" s="499"/>
      <c r="B3" s="217">
        <v>2014</v>
      </c>
      <c r="C3" s="218">
        <v>2015</v>
      </c>
      <c r="D3" s="217">
        <v>2014</v>
      </c>
      <c r="E3" s="218">
        <v>2015</v>
      </c>
      <c r="F3" s="217">
        <v>2014</v>
      </c>
      <c r="G3" s="218">
        <v>2015</v>
      </c>
      <c r="H3" s="217">
        <v>2014</v>
      </c>
      <c r="I3" s="218">
        <v>2015</v>
      </c>
      <c r="J3" s="217">
        <v>2014</v>
      </c>
      <c r="K3" s="218">
        <v>2015</v>
      </c>
      <c r="L3" s="217">
        <v>2014</v>
      </c>
      <c r="M3" s="218">
        <v>2015</v>
      </c>
      <c r="N3" s="217">
        <v>2014</v>
      </c>
      <c r="O3" s="218">
        <v>2015</v>
      </c>
      <c r="P3" s="217">
        <v>2014</v>
      </c>
      <c r="Q3" s="218">
        <v>2015</v>
      </c>
    </row>
    <row r="4" spans="1:17" ht="26.25" customHeight="1" x14ac:dyDescent="0.2">
      <c r="A4" s="130" t="s">
        <v>191</v>
      </c>
      <c r="B4" s="219">
        <v>21</v>
      </c>
      <c r="C4" s="220">
        <f>19</f>
        <v>19</v>
      </c>
      <c r="D4" s="219">
        <v>14</v>
      </c>
      <c r="E4" s="220">
        <f>23</f>
        <v>23</v>
      </c>
      <c r="F4" s="219">
        <v>44</v>
      </c>
      <c r="G4" s="220">
        <f>29</f>
        <v>29</v>
      </c>
      <c r="H4" s="219">
        <f>7</f>
        <v>7</v>
      </c>
      <c r="I4" s="220">
        <f>9+1</f>
        <v>10</v>
      </c>
      <c r="J4" s="219">
        <v>26</v>
      </c>
      <c r="K4" s="220">
        <f>7+1</f>
        <v>8</v>
      </c>
      <c r="L4" s="219">
        <v>3</v>
      </c>
      <c r="M4" s="220">
        <f>1</f>
        <v>1</v>
      </c>
      <c r="N4" s="221">
        <v>62.356000000000002</v>
      </c>
      <c r="O4" s="222">
        <f>44.63821+0.27851*2+0.39263</f>
        <v>45.587859999999999</v>
      </c>
      <c r="P4" s="219">
        <f>SUM(B4,D4,F4,H4,J4,L4)</f>
        <v>115</v>
      </c>
      <c r="Q4" s="220">
        <f>SUM(C4,E4,G4,I4,K4,M4)</f>
        <v>90</v>
      </c>
    </row>
    <row r="5" spans="1:17" ht="26.25" customHeight="1" x14ac:dyDescent="0.2">
      <c r="A5" s="130" t="s">
        <v>192</v>
      </c>
      <c r="B5" s="219">
        <v>22</v>
      </c>
      <c r="C5" s="220">
        <f>22+1</f>
        <v>23</v>
      </c>
      <c r="D5" s="219">
        <v>19</v>
      </c>
      <c r="E5" s="220">
        <f>26</f>
        <v>26</v>
      </c>
      <c r="F5" s="219">
        <v>16</v>
      </c>
      <c r="G5" s="220">
        <f>24</f>
        <v>24</v>
      </c>
      <c r="H5" s="219">
        <f>8</f>
        <v>8</v>
      </c>
      <c r="I5" s="220">
        <f>6+1</f>
        <v>7</v>
      </c>
      <c r="J5" s="219">
        <v>22</v>
      </c>
      <c r="K5" s="220">
        <f>11</f>
        <v>11</v>
      </c>
      <c r="L5" s="219">
        <v>4</v>
      </c>
      <c r="M5" s="220">
        <f>3</f>
        <v>3</v>
      </c>
      <c r="N5" s="221">
        <v>46.879460000000002</v>
      </c>
      <c r="O5" s="222">
        <f>48.35071</f>
        <v>48.350709999999999</v>
      </c>
      <c r="P5" s="219">
        <f t="shared" ref="P5:Q9" si="0">SUM(B5,D5,F5,H5,J5,L5)</f>
        <v>91</v>
      </c>
      <c r="Q5" s="220">
        <f t="shared" si="0"/>
        <v>94</v>
      </c>
    </row>
    <row r="6" spans="1:17" ht="26.25" customHeight="1" x14ac:dyDescent="0.2">
      <c r="A6" s="130" t="s">
        <v>193</v>
      </c>
      <c r="B6" s="219">
        <v>22</v>
      </c>
      <c r="C6" s="220">
        <f>27</f>
        <v>27</v>
      </c>
      <c r="D6" s="219">
        <v>25</v>
      </c>
      <c r="E6" s="220">
        <f>26+3</f>
        <v>29</v>
      </c>
      <c r="F6" s="219">
        <v>38</v>
      </c>
      <c r="G6" s="220">
        <f>29</f>
        <v>29</v>
      </c>
      <c r="H6" s="219">
        <f>9+1</f>
        <v>10</v>
      </c>
      <c r="I6" s="220">
        <f>6</f>
        <v>6</v>
      </c>
      <c r="J6" s="219">
        <v>16</v>
      </c>
      <c r="K6" s="220">
        <f>16</f>
        <v>16</v>
      </c>
      <c r="L6" s="219">
        <v>1</v>
      </c>
      <c r="M6" s="220">
        <f>1</f>
        <v>1</v>
      </c>
      <c r="N6" s="221">
        <v>56.521059999999999</v>
      </c>
      <c r="O6" s="222">
        <f>50.57233+2.15927</f>
        <v>52.7316</v>
      </c>
      <c r="P6" s="219">
        <f t="shared" si="0"/>
        <v>112</v>
      </c>
      <c r="Q6" s="220">
        <f t="shared" si="0"/>
        <v>108</v>
      </c>
    </row>
    <row r="7" spans="1:17" ht="26.25" customHeight="1" x14ac:dyDescent="0.2">
      <c r="A7" s="130" t="s">
        <v>194</v>
      </c>
      <c r="B7" s="219">
        <v>22</v>
      </c>
      <c r="C7" s="220">
        <f>23+2</f>
        <v>25</v>
      </c>
      <c r="D7" s="219">
        <v>22</v>
      </c>
      <c r="E7" s="220">
        <f>23+5</f>
        <v>28</v>
      </c>
      <c r="F7" s="219">
        <v>26</v>
      </c>
      <c r="G7" s="220">
        <f>29</f>
        <v>29</v>
      </c>
      <c r="H7" s="219">
        <f>9</f>
        <v>9</v>
      </c>
      <c r="I7" s="220">
        <f>7</f>
        <v>7</v>
      </c>
      <c r="J7" s="219">
        <v>24</v>
      </c>
      <c r="K7" s="220">
        <f>17</f>
        <v>17</v>
      </c>
      <c r="L7" s="219">
        <v>7</v>
      </c>
      <c r="M7" s="220">
        <f>3</f>
        <v>3</v>
      </c>
      <c r="N7" s="221">
        <v>54.055749999999996</v>
      </c>
      <c r="O7" s="222">
        <f>48.95829+3.81514</f>
        <v>52.773429999999998</v>
      </c>
      <c r="P7" s="219">
        <f t="shared" si="0"/>
        <v>110</v>
      </c>
      <c r="Q7" s="220">
        <f t="shared" si="0"/>
        <v>109</v>
      </c>
    </row>
    <row r="8" spans="1:17" ht="26.25" customHeight="1" x14ac:dyDescent="0.2">
      <c r="A8" s="130" t="s">
        <v>195</v>
      </c>
      <c r="B8" s="223">
        <v>23</v>
      </c>
      <c r="C8" s="224">
        <f>27+3</f>
        <v>30</v>
      </c>
      <c r="D8" s="223">
        <v>16</v>
      </c>
      <c r="E8" s="224">
        <f>20+3</f>
        <v>23</v>
      </c>
      <c r="F8" s="223">
        <v>31</v>
      </c>
      <c r="G8" s="224">
        <f>27</f>
        <v>27</v>
      </c>
      <c r="H8" s="223">
        <f>10</f>
        <v>10</v>
      </c>
      <c r="I8" s="224">
        <f>6</f>
        <v>6</v>
      </c>
      <c r="J8" s="223">
        <v>20</v>
      </c>
      <c r="K8" s="224">
        <f>10</f>
        <v>10</v>
      </c>
      <c r="L8" s="223">
        <v>3</v>
      </c>
      <c r="M8" s="224">
        <f>1</f>
        <v>1</v>
      </c>
      <c r="N8" s="225">
        <v>51.772289999999998</v>
      </c>
      <c r="O8" s="226">
        <f>48.0554+3.29607</f>
        <v>51.351469999999999</v>
      </c>
      <c r="P8" s="219">
        <f t="shared" si="0"/>
        <v>103</v>
      </c>
      <c r="Q8" s="220">
        <f t="shared" si="0"/>
        <v>97</v>
      </c>
    </row>
    <row r="9" spans="1:17" ht="26.25" customHeight="1" x14ac:dyDescent="0.2">
      <c r="A9" s="130" t="s">
        <v>196</v>
      </c>
      <c r="B9" s="223">
        <v>16</v>
      </c>
      <c r="C9" s="224">
        <f>4+1+1+2+1+1+1+4+2+2</f>
        <v>19</v>
      </c>
      <c r="D9" s="223">
        <v>19</v>
      </c>
      <c r="E9" s="224">
        <f>12+4+3+2+3+1</f>
        <v>25</v>
      </c>
      <c r="F9" s="223">
        <v>23</v>
      </c>
      <c r="G9" s="224">
        <f>10+19+3+3</f>
        <v>35</v>
      </c>
      <c r="H9" s="223">
        <v>12</v>
      </c>
      <c r="I9" s="224">
        <f>1+1+1</f>
        <v>3</v>
      </c>
      <c r="J9" s="223">
        <v>20</v>
      </c>
      <c r="K9" s="224">
        <f>3+2+10</f>
        <v>15</v>
      </c>
      <c r="L9" s="223"/>
      <c r="M9" s="224">
        <f>2</f>
        <v>2</v>
      </c>
      <c r="N9" s="227">
        <v>46.754800000000003</v>
      </c>
      <c r="O9" s="272">
        <f>43.13521+6.16879</f>
        <v>49.304000000000002</v>
      </c>
      <c r="P9" s="223">
        <f t="shared" si="0"/>
        <v>90</v>
      </c>
      <c r="Q9" s="224">
        <f>SUM(C9,E9,G9,I9,K9,M9)</f>
        <v>99</v>
      </c>
    </row>
    <row r="10" spans="1:17" ht="26.25" customHeight="1" x14ac:dyDescent="0.2">
      <c r="A10" s="270" t="s">
        <v>233</v>
      </c>
      <c r="B10" s="223">
        <v>15</v>
      </c>
      <c r="C10" s="224">
        <f>4+1+5+2+3+1+2+2</f>
        <v>20</v>
      </c>
      <c r="D10" s="223">
        <v>22</v>
      </c>
      <c r="E10" s="224">
        <f>7+6+2+1+2+2+1+2</f>
        <v>23</v>
      </c>
      <c r="F10" s="223">
        <v>28</v>
      </c>
      <c r="G10" s="224">
        <f>10+18+2</f>
        <v>30</v>
      </c>
      <c r="H10" s="223">
        <v>5</v>
      </c>
      <c r="I10" s="224">
        <f>2+1+1+1</f>
        <v>5</v>
      </c>
      <c r="J10" s="223">
        <v>14</v>
      </c>
      <c r="K10" s="224">
        <f>4+3+1+1+2</f>
        <v>11</v>
      </c>
      <c r="L10" s="223">
        <v>3</v>
      </c>
      <c r="M10" s="224"/>
      <c r="N10" s="227">
        <v>46.244450000000001</v>
      </c>
      <c r="O10" s="272">
        <f>47.97632</f>
        <v>47.976320000000001</v>
      </c>
      <c r="P10" s="223">
        <f t="shared" ref="P10:P15" si="1">SUM(B10,D10,F10,H10,J10,L10)</f>
        <v>87</v>
      </c>
      <c r="Q10" s="224">
        <f t="shared" ref="Q10:Q15" si="2">SUM(C10,E10,G10,I10,K10,M10)</f>
        <v>89</v>
      </c>
    </row>
    <row r="11" spans="1:17" ht="26.25" customHeight="1" x14ac:dyDescent="0.2">
      <c r="A11" s="270" t="s">
        <v>234</v>
      </c>
      <c r="B11" s="223">
        <v>2</v>
      </c>
      <c r="C11" s="224">
        <f>1+1+1+3+1+2</f>
        <v>9</v>
      </c>
      <c r="D11" s="223">
        <v>18</v>
      </c>
      <c r="E11" s="224">
        <f>5+1+7+11+2</f>
        <v>26</v>
      </c>
      <c r="F11" s="223">
        <v>20</v>
      </c>
      <c r="G11" s="224">
        <f>17</f>
        <v>17</v>
      </c>
      <c r="H11" s="223">
        <v>2</v>
      </c>
      <c r="I11" s="224">
        <f>2+1+1</f>
        <v>4</v>
      </c>
      <c r="J11" s="223">
        <v>3</v>
      </c>
      <c r="K11" s="224">
        <f>1+2</f>
        <v>3</v>
      </c>
      <c r="L11" s="223">
        <v>1</v>
      </c>
      <c r="M11" s="224"/>
      <c r="N11" s="227">
        <v>29.357530000000001</v>
      </c>
      <c r="O11" s="272">
        <f>35.5592</f>
        <v>35.559199999999997</v>
      </c>
      <c r="P11" s="223">
        <f t="shared" si="1"/>
        <v>46</v>
      </c>
      <c r="Q11" s="224">
        <f t="shared" si="2"/>
        <v>59</v>
      </c>
    </row>
    <row r="12" spans="1:17" ht="26.25" customHeight="1" x14ac:dyDescent="0.2">
      <c r="A12" s="270" t="s">
        <v>235</v>
      </c>
      <c r="B12" s="223">
        <v>18</v>
      </c>
      <c r="C12" s="224">
        <f>3+1+4+1+2+2+2+5+2+2+1</f>
        <v>25</v>
      </c>
      <c r="D12" s="223">
        <v>30</v>
      </c>
      <c r="E12" s="224">
        <f>3+10+5+10+9</f>
        <v>37</v>
      </c>
      <c r="F12" s="223">
        <v>35</v>
      </c>
      <c r="G12" s="224">
        <f>20+1</f>
        <v>21</v>
      </c>
      <c r="H12" s="223">
        <v>9</v>
      </c>
      <c r="I12" s="224">
        <f>1+1+3+3</f>
        <v>8</v>
      </c>
      <c r="J12" s="223">
        <v>17</v>
      </c>
      <c r="K12" s="224">
        <f>4+2+2+9+2</f>
        <v>19</v>
      </c>
      <c r="L12" s="223">
        <v>1</v>
      </c>
      <c r="M12" s="224">
        <f>1+2</f>
        <v>3</v>
      </c>
      <c r="N12" s="227">
        <v>58.11938</v>
      </c>
      <c r="O12" s="272">
        <v>57.00788</v>
      </c>
      <c r="P12" s="223">
        <f t="shared" si="1"/>
        <v>110</v>
      </c>
      <c r="Q12" s="224">
        <f t="shared" si="2"/>
        <v>113</v>
      </c>
    </row>
    <row r="13" spans="1:17" ht="26.25" customHeight="1" x14ac:dyDescent="0.2">
      <c r="A13" s="381" t="s">
        <v>462</v>
      </c>
      <c r="B13" s="223">
        <v>35</v>
      </c>
      <c r="C13" s="224">
        <f>10+2+2+6+1+5+3+1+6+2+3</f>
        <v>41</v>
      </c>
      <c r="D13" s="223">
        <v>29</v>
      </c>
      <c r="E13" s="224">
        <f>1+11+9+3+4+2</f>
        <v>30</v>
      </c>
      <c r="F13" s="223">
        <v>29</v>
      </c>
      <c r="G13" s="224">
        <f>8+18+4</f>
        <v>30</v>
      </c>
      <c r="H13" s="223">
        <v>6</v>
      </c>
      <c r="I13" s="224">
        <f>1+3+1</f>
        <v>5</v>
      </c>
      <c r="J13" s="223">
        <v>9</v>
      </c>
      <c r="K13" s="224">
        <f>6+2+1+3+2</f>
        <v>14</v>
      </c>
      <c r="L13" s="223">
        <v>3</v>
      </c>
      <c r="M13" s="224">
        <f>1+3</f>
        <v>4</v>
      </c>
      <c r="N13" s="227">
        <v>60.02863</v>
      </c>
      <c r="O13" s="272">
        <f>60.07898+2.22247</f>
        <v>62.301450000000003</v>
      </c>
      <c r="P13" s="223">
        <f t="shared" si="1"/>
        <v>111</v>
      </c>
      <c r="Q13" s="224">
        <f t="shared" si="2"/>
        <v>124</v>
      </c>
    </row>
    <row r="14" spans="1:17" ht="26.25" customHeight="1" x14ac:dyDescent="0.2">
      <c r="A14" s="381" t="s">
        <v>463</v>
      </c>
      <c r="B14" s="223">
        <v>18</v>
      </c>
      <c r="C14" s="224">
        <f>4+1+1+4+4+4+2+6+2+1+1+2</f>
        <v>32</v>
      </c>
      <c r="D14" s="223">
        <v>26</v>
      </c>
      <c r="E14" s="224">
        <f>10+7+8+1</f>
        <v>26</v>
      </c>
      <c r="F14" s="223">
        <v>27</v>
      </c>
      <c r="G14" s="224">
        <f>4+22+3</f>
        <v>29</v>
      </c>
      <c r="H14" s="223">
        <v>7</v>
      </c>
      <c r="I14" s="224">
        <f>2+3</f>
        <v>5</v>
      </c>
      <c r="J14" s="223">
        <v>9</v>
      </c>
      <c r="K14" s="224">
        <f>6+1+3+4+1</f>
        <v>15</v>
      </c>
      <c r="L14" s="223">
        <v>2</v>
      </c>
      <c r="M14" s="224">
        <f>1+2</f>
        <v>3</v>
      </c>
      <c r="N14" s="227">
        <v>50.016259999999996</v>
      </c>
      <c r="O14" s="272">
        <f>53.36136+1.17133</f>
        <v>54.532689999999995</v>
      </c>
      <c r="P14" s="223">
        <f t="shared" si="1"/>
        <v>89</v>
      </c>
      <c r="Q14" s="224">
        <f t="shared" si="2"/>
        <v>110</v>
      </c>
    </row>
    <row r="15" spans="1:17" s="460" customFormat="1" ht="26.25" customHeight="1" x14ac:dyDescent="0.2">
      <c r="A15" s="459" t="s">
        <v>464</v>
      </c>
      <c r="B15" s="223">
        <f>23</f>
        <v>23</v>
      </c>
      <c r="C15" s="224">
        <f>2+2+2+4+2+1+3</f>
        <v>16</v>
      </c>
      <c r="D15" s="223">
        <f>14+1+3</f>
        <v>18</v>
      </c>
      <c r="E15" s="224">
        <f>1+2+5+6+2+1</f>
        <v>17</v>
      </c>
      <c r="F15" s="223">
        <f>22</f>
        <v>22</v>
      </c>
      <c r="G15" s="224">
        <f>4+19+1</f>
        <v>24</v>
      </c>
      <c r="H15" s="223">
        <f>6+1</f>
        <v>7</v>
      </c>
      <c r="I15" s="224">
        <f>2+1+3+1</f>
        <v>7</v>
      </c>
      <c r="J15" s="223">
        <f>14</f>
        <v>14</v>
      </c>
      <c r="K15" s="224">
        <f>2+2+2+5+1</f>
        <v>12</v>
      </c>
      <c r="L15" s="223">
        <f>1</f>
        <v>1</v>
      </c>
      <c r="M15" s="224">
        <f>1</f>
        <v>1</v>
      </c>
      <c r="N15" s="227">
        <f>44.52965+2.70148</f>
        <v>47.231129999999993</v>
      </c>
      <c r="O15" s="272">
        <f>38.80321+1.7611</f>
        <v>40.564309999999999</v>
      </c>
      <c r="P15" s="223">
        <f t="shared" si="1"/>
        <v>85</v>
      </c>
      <c r="Q15" s="224">
        <f t="shared" si="2"/>
        <v>77</v>
      </c>
    </row>
    <row r="16" spans="1:17" ht="26.25" customHeight="1" x14ac:dyDescent="0.2">
      <c r="A16" s="130" t="s">
        <v>165</v>
      </c>
      <c r="B16" s="228">
        <f t="shared" ref="B16:Q16" si="3">SUM(B4:B15)</f>
        <v>237</v>
      </c>
      <c r="C16" s="106">
        <f t="shared" si="3"/>
        <v>286</v>
      </c>
      <c r="D16" s="228">
        <f t="shared" si="3"/>
        <v>258</v>
      </c>
      <c r="E16" s="106">
        <f t="shared" si="3"/>
        <v>313</v>
      </c>
      <c r="F16" s="228">
        <f t="shared" si="3"/>
        <v>339</v>
      </c>
      <c r="G16" s="106">
        <f t="shared" si="3"/>
        <v>324</v>
      </c>
      <c r="H16" s="228">
        <f t="shared" si="3"/>
        <v>92</v>
      </c>
      <c r="I16" s="106">
        <f t="shared" si="3"/>
        <v>73</v>
      </c>
      <c r="J16" s="228">
        <f t="shared" si="3"/>
        <v>194</v>
      </c>
      <c r="K16" s="106">
        <f t="shared" si="3"/>
        <v>151</v>
      </c>
      <c r="L16" s="228">
        <f t="shared" si="3"/>
        <v>29</v>
      </c>
      <c r="M16" s="106">
        <f t="shared" si="3"/>
        <v>22</v>
      </c>
      <c r="N16" s="273">
        <f t="shared" si="3"/>
        <v>609.33673999999996</v>
      </c>
      <c r="O16" s="274">
        <f t="shared" si="3"/>
        <v>598.04091999999991</v>
      </c>
      <c r="P16" s="228">
        <f t="shared" si="3"/>
        <v>1149</v>
      </c>
      <c r="Q16" s="106">
        <f t="shared" si="3"/>
        <v>1169</v>
      </c>
    </row>
    <row r="17" spans="2:17" ht="26.25" customHeight="1" x14ac:dyDescent="0.2">
      <c r="B17" s="461"/>
      <c r="C17" s="461"/>
      <c r="D17" s="461"/>
      <c r="E17" s="461"/>
      <c r="F17" s="461"/>
      <c r="G17" s="461"/>
      <c r="H17" s="461"/>
      <c r="I17" s="461"/>
      <c r="J17" s="461"/>
      <c r="K17" s="461"/>
      <c r="L17" s="461"/>
      <c r="M17" s="461"/>
      <c r="P17" s="461">
        <f>B17+D17+F17+H17+J17+L17</f>
        <v>0</v>
      </c>
      <c r="Q17" s="461">
        <f>C17+E17+G17+I17+K17+M17</f>
        <v>0</v>
      </c>
    </row>
  </sheetData>
  <mergeCells count="10">
    <mergeCell ref="A1:A3"/>
    <mergeCell ref="B1:M1"/>
    <mergeCell ref="N1:O2"/>
    <mergeCell ref="P1:Q2"/>
    <mergeCell ref="B2:C2"/>
    <mergeCell ref="D2:E2"/>
    <mergeCell ref="F2:G2"/>
    <mergeCell ref="H2:I2"/>
    <mergeCell ref="J2:K2"/>
    <mergeCell ref="L2:M2"/>
  </mergeCells>
  <conditionalFormatting sqref="R1:JD65540 A1:A65540 B2:M65540 N3:Q65540">
    <cfRule type="cellIs" dxfId="29" priority="10" stopIfTrue="1" operator="equal">
      <formula>0</formula>
    </cfRule>
  </conditionalFormatting>
  <conditionalFormatting sqref="B9:Q15">
    <cfRule type="cellIs" dxfId="28" priority="9" stopIfTrue="1" operator="equal">
      <formula>0</formula>
    </cfRule>
  </conditionalFormatting>
  <conditionalFormatting sqref="B9:B15">
    <cfRule type="cellIs" dxfId="27" priority="8" stopIfTrue="1" operator="equal">
      <formula>0</formula>
    </cfRule>
  </conditionalFormatting>
  <conditionalFormatting sqref="D9:D15">
    <cfRule type="cellIs" dxfId="26" priority="7" stopIfTrue="1" operator="equal">
      <formula>0</formula>
    </cfRule>
  </conditionalFormatting>
  <conditionalFormatting sqref="F9:F15">
    <cfRule type="cellIs" dxfId="25" priority="6" stopIfTrue="1" operator="equal">
      <formula>0</formula>
    </cfRule>
  </conditionalFormatting>
  <conditionalFormatting sqref="H9:H15">
    <cfRule type="cellIs" dxfId="24" priority="5" stopIfTrue="1" operator="equal">
      <formula>0</formula>
    </cfRule>
  </conditionalFormatting>
  <conditionalFormatting sqref="J9:J15">
    <cfRule type="cellIs" dxfId="23" priority="4" stopIfTrue="1" operator="equal">
      <formula>0</formula>
    </cfRule>
  </conditionalFormatting>
  <conditionalFormatting sqref="L9:L15">
    <cfRule type="cellIs" dxfId="22" priority="3" stopIfTrue="1" operator="equal">
      <formula>0</formula>
    </cfRule>
  </conditionalFormatting>
  <conditionalFormatting sqref="N9:N15">
    <cfRule type="cellIs" dxfId="21" priority="2" stopIfTrue="1" operator="equal">
      <formula>0</formula>
    </cfRule>
  </conditionalFormatting>
  <conditionalFormatting sqref="N9:N15">
    <cfRule type="cellIs" dxfId="20" priority="1" stopIfTrue="1" operator="equal">
      <formula>0</formula>
    </cfRule>
  </conditionalFormatting>
  <printOptions horizontalCentered="1"/>
  <pageMargins left="0" right="0" top="1.3779527559055118" bottom="0.98425196850393704" header="0.51181102362204722" footer="0.51181102362204722"/>
  <pageSetup paperSize="9" scale="97" orientation="landscape" r:id="rId1"/>
  <headerFooter alignWithMargins="0">
    <oddHeader>&amp;CEgynapos Sebészeti ellátás teljesítménye 2015. év&amp;R3.sz. melléklet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sqref="A1:A2"/>
    </sheetView>
  </sheetViews>
  <sheetFormatPr defaultRowHeight="27" customHeight="1" x14ac:dyDescent="0.2"/>
  <cols>
    <col min="1" max="8" width="13.7109375" style="172" customWidth="1"/>
    <col min="9" max="256" width="9.140625" style="172"/>
    <col min="257" max="264" width="13.7109375" style="172" customWidth="1"/>
    <col min="265" max="512" width="9.140625" style="172"/>
    <col min="513" max="520" width="13.7109375" style="172" customWidth="1"/>
    <col min="521" max="768" width="9.140625" style="172"/>
    <col min="769" max="776" width="13.7109375" style="172" customWidth="1"/>
    <col min="777" max="1024" width="9.140625" style="172"/>
    <col min="1025" max="1032" width="13.7109375" style="172" customWidth="1"/>
    <col min="1033" max="1280" width="9.140625" style="172"/>
    <col min="1281" max="1288" width="13.7109375" style="172" customWidth="1"/>
    <col min="1289" max="1536" width="9.140625" style="172"/>
    <col min="1537" max="1544" width="13.7109375" style="172" customWidth="1"/>
    <col min="1545" max="1792" width="9.140625" style="172"/>
    <col min="1793" max="1800" width="13.7109375" style="172" customWidth="1"/>
    <col min="1801" max="2048" width="9.140625" style="172"/>
    <col min="2049" max="2056" width="13.7109375" style="172" customWidth="1"/>
    <col min="2057" max="2304" width="9.140625" style="172"/>
    <col min="2305" max="2312" width="13.7109375" style="172" customWidth="1"/>
    <col min="2313" max="2560" width="9.140625" style="172"/>
    <col min="2561" max="2568" width="13.7109375" style="172" customWidth="1"/>
    <col min="2569" max="2816" width="9.140625" style="172"/>
    <col min="2817" max="2824" width="13.7109375" style="172" customWidth="1"/>
    <col min="2825" max="3072" width="9.140625" style="172"/>
    <col min="3073" max="3080" width="13.7109375" style="172" customWidth="1"/>
    <col min="3081" max="3328" width="9.140625" style="172"/>
    <col min="3329" max="3336" width="13.7109375" style="172" customWidth="1"/>
    <col min="3337" max="3584" width="9.140625" style="172"/>
    <col min="3585" max="3592" width="13.7109375" style="172" customWidth="1"/>
    <col min="3593" max="3840" width="9.140625" style="172"/>
    <col min="3841" max="3848" width="13.7109375" style="172" customWidth="1"/>
    <col min="3849" max="4096" width="9.140625" style="172"/>
    <col min="4097" max="4104" width="13.7109375" style="172" customWidth="1"/>
    <col min="4105" max="4352" width="9.140625" style="172"/>
    <col min="4353" max="4360" width="13.7109375" style="172" customWidth="1"/>
    <col min="4361" max="4608" width="9.140625" style="172"/>
    <col min="4609" max="4616" width="13.7109375" style="172" customWidth="1"/>
    <col min="4617" max="4864" width="9.140625" style="172"/>
    <col min="4865" max="4872" width="13.7109375" style="172" customWidth="1"/>
    <col min="4873" max="5120" width="9.140625" style="172"/>
    <col min="5121" max="5128" width="13.7109375" style="172" customWidth="1"/>
    <col min="5129" max="5376" width="9.140625" style="172"/>
    <col min="5377" max="5384" width="13.7109375" style="172" customWidth="1"/>
    <col min="5385" max="5632" width="9.140625" style="172"/>
    <col min="5633" max="5640" width="13.7109375" style="172" customWidth="1"/>
    <col min="5641" max="5888" width="9.140625" style="172"/>
    <col min="5889" max="5896" width="13.7109375" style="172" customWidth="1"/>
    <col min="5897" max="6144" width="9.140625" style="172"/>
    <col min="6145" max="6152" width="13.7109375" style="172" customWidth="1"/>
    <col min="6153" max="6400" width="9.140625" style="172"/>
    <col min="6401" max="6408" width="13.7109375" style="172" customWidth="1"/>
    <col min="6409" max="6656" width="9.140625" style="172"/>
    <col min="6657" max="6664" width="13.7109375" style="172" customWidth="1"/>
    <col min="6665" max="6912" width="9.140625" style="172"/>
    <col min="6913" max="6920" width="13.7109375" style="172" customWidth="1"/>
    <col min="6921" max="7168" width="9.140625" style="172"/>
    <col min="7169" max="7176" width="13.7109375" style="172" customWidth="1"/>
    <col min="7177" max="7424" width="9.140625" style="172"/>
    <col min="7425" max="7432" width="13.7109375" style="172" customWidth="1"/>
    <col min="7433" max="7680" width="9.140625" style="172"/>
    <col min="7681" max="7688" width="13.7109375" style="172" customWidth="1"/>
    <col min="7689" max="7936" width="9.140625" style="172"/>
    <col min="7937" max="7944" width="13.7109375" style="172" customWidth="1"/>
    <col min="7945" max="8192" width="9.140625" style="172"/>
    <col min="8193" max="8200" width="13.7109375" style="172" customWidth="1"/>
    <col min="8201" max="8448" width="9.140625" style="172"/>
    <col min="8449" max="8456" width="13.7109375" style="172" customWidth="1"/>
    <col min="8457" max="8704" width="9.140625" style="172"/>
    <col min="8705" max="8712" width="13.7109375" style="172" customWidth="1"/>
    <col min="8713" max="8960" width="9.140625" style="172"/>
    <col min="8961" max="8968" width="13.7109375" style="172" customWidth="1"/>
    <col min="8969" max="9216" width="9.140625" style="172"/>
    <col min="9217" max="9224" width="13.7109375" style="172" customWidth="1"/>
    <col min="9225" max="9472" width="9.140625" style="172"/>
    <col min="9473" max="9480" width="13.7109375" style="172" customWidth="1"/>
    <col min="9481" max="9728" width="9.140625" style="172"/>
    <col min="9729" max="9736" width="13.7109375" style="172" customWidth="1"/>
    <col min="9737" max="9984" width="9.140625" style="172"/>
    <col min="9985" max="9992" width="13.7109375" style="172" customWidth="1"/>
    <col min="9993" max="10240" width="9.140625" style="172"/>
    <col min="10241" max="10248" width="13.7109375" style="172" customWidth="1"/>
    <col min="10249" max="10496" width="9.140625" style="172"/>
    <col min="10497" max="10504" width="13.7109375" style="172" customWidth="1"/>
    <col min="10505" max="10752" width="9.140625" style="172"/>
    <col min="10753" max="10760" width="13.7109375" style="172" customWidth="1"/>
    <col min="10761" max="11008" width="9.140625" style="172"/>
    <col min="11009" max="11016" width="13.7109375" style="172" customWidth="1"/>
    <col min="11017" max="11264" width="9.140625" style="172"/>
    <col min="11265" max="11272" width="13.7109375" style="172" customWidth="1"/>
    <col min="11273" max="11520" width="9.140625" style="172"/>
    <col min="11521" max="11528" width="13.7109375" style="172" customWidth="1"/>
    <col min="11529" max="11776" width="9.140625" style="172"/>
    <col min="11777" max="11784" width="13.7109375" style="172" customWidth="1"/>
    <col min="11785" max="12032" width="9.140625" style="172"/>
    <col min="12033" max="12040" width="13.7109375" style="172" customWidth="1"/>
    <col min="12041" max="12288" width="9.140625" style="172"/>
    <col min="12289" max="12296" width="13.7109375" style="172" customWidth="1"/>
    <col min="12297" max="12544" width="9.140625" style="172"/>
    <col min="12545" max="12552" width="13.7109375" style="172" customWidth="1"/>
    <col min="12553" max="12800" width="9.140625" style="172"/>
    <col min="12801" max="12808" width="13.7109375" style="172" customWidth="1"/>
    <col min="12809" max="13056" width="9.140625" style="172"/>
    <col min="13057" max="13064" width="13.7109375" style="172" customWidth="1"/>
    <col min="13065" max="13312" width="9.140625" style="172"/>
    <col min="13313" max="13320" width="13.7109375" style="172" customWidth="1"/>
    <col min="13321" max="13568" width="9.140625" style="172"/>
    <col min="13569" max="13576" width="13.7109375" style="172" customWidth="1"/>
    <col min="13577" max="13824" width="9.140625" style="172"/>
    <col min="13825" max="13832" width="13.7109375" style="172" customWidth="1"/>
    <col min="13833" max="14080" width="9.140625" style="172"/>
    <col min="14081" max="14088" width="13.7109375" style="172" customWidth="1"/>
    <col min="14089" max="14336" width="9.140625" style="172"/>
    <col min="14337" max="14344" width="13.7109375" style="172" customWidth="1"/>
    <col min="14345" max="14592" width="9.140625" style="172"/>
    <col min="14593" max="14600" width="13.7109375" style="172" customWidth="1"/>
    <col min="14601" max="14848" width="9.140625" style="172"/>
    <col min="14849" max="14856" width="13.7109375" style="172" customWidth="1"/>
    <col min="14857" max="15104" width="9.140625" style="172"/>
    <col min="15105" max="15112" width="13.7109375" style="172" customWidth="1"/>
    <col min="15113" max="15360" width="9.140625" style="172"/>
    <col min="15361" max="15368" width="13.7109375" style="172" customWidth="1"/>
    <col min="15369" max="15616" width="9.140625" style="172"/>
    <col min="15617" max="15624" width="13.7109375" style="172" customWidth="1"/>
    <col min="15625" max="15872" width="9.140625" style="172"/>
    <col min="15873" max="15880" width="13.7109375" style="172" customWidth="1"/>
    <col min="15881" max="16128" width="9.140625" style="172"/>
    <col min="16129" max="16136" width="13.7109375" style="172" customWidth="1"/>
    <col min="16137" max="16384" width="9.140625" style="172"/>
  </cols>
  <sheetData>
    <row r="1" spans="1:8" s="229" customFormat="1" ht="27" customHeight="1" x14ac:dyDescent="0.2">
      <c r="A1" s="500"/>
      <c r="B1" s="500" t="s">
        <v>228</v>
      </c>
      <c r="C1" s="500" t="s">
        <v>229</v>
      </c>
      <c r="D1" s="500"/>
      <c r="E1" s="500"/>
      <c r="F1" s="500" t="s">
        <v>230</v>
      </c>
      <c r="G1" s="500" t="s">
        <v>197</v>
      </c>
      <c r="H1" s="500"/>
    </row>
    <row r="2" spans="1:8" s="229" customFormat="1" ht="27" customHeight="1" x14ac:dyDescent="0.2">
      <c r="A2" s="500"/>
      <c r="B2" s="500"/>
      <c r="C2" s="1" t="s">
        <v>198</v>
      </c>
      <c r="D2" s="1" t="s">
        <v>199</v>
      </c>
      <c r="E2" s="1" t="s">
        <v>165</v>
      </c>
      <c r="F2" s="500"/>
      <c r="G2" s="1" t="s">
        <v>198</v>
      </c>
      <c r="H2" s="1" t="s">
        <v>200</v>
      </c>
    </row>
    <row r="3" spans="1:8" s="229" customFormat="1" ht="27" customHeight="1" x14ac:dyDescent="0.2">
      <c r="A3" s="230" t="s">
        <v>201</v>
      </c>
      <c r="B3" s="185">
        <v>39957678</v>
      </c>
      <c r="C3" s="231">
        <v>40334323</v>
      </c>
      <c r="D3" s="231">
        <v>16639</v>
      </c>
      <c r="E3" s="231">
        <f>SUM(C3:D3)</f>
        <v>40350962</v>
      </c>
      <c r="F3" s="185">
        <v>40476842</v>
      </c>
      <c r="G3" s="185">
        <f>E3-B3</f>
        <v>393284</v>
      </c>
      <c r="H3" s="185">
        <f>G3</f>
        <v>393284</v>
      </c>
    </row>
    <row r="4" spans="1:8" s="229" customFormat="1" ht="27" customHeight="1" x14ac:dyDescent="0.2">
      <c r="A4" s="230" t="s">
        <v>202</v>
      </c>
      <c r="B4" s="185">
        <v>39957678</v>
      </c>
      <c r="C4" s="231">
        <v>32965122</v>
      </c>
      <c r="D4" s="231">
        <v>2116</v>
      </c>
      <c r="E4" s="231">
        <f>SUM(C4:D4)</f>
        <v>32967238</v>
      </c>
      <c r="F4" s="70">
        <v>33287614</v>
      </c>
      <c r="G4" s="185">
        <f>E4-B4</f>
        <v>-6990440</v>
      </c>
      <c r="H4" s="185">
        <f t="shared" ref="H4:H16" si="0">G4+H3</f>
        <v>-6597156</v>
      </c>
    </row>
    <row r="5" spans="1:8" ht="27" customHeight="1" x14ac:dyDescent="0.2">
      <c r="A5" s="2" t="s">
        <v>203</v>
      </c>
      <c r="B5" s="185">
        <v>39957678</v>
      </c>
      <c r="C5" s="231">
        <v>41316314</v>
      </c>
      <c r="D5" s="231">
        <v>14420</v>
      </c>
      <c r="E5" s="231">
        <f t="shared" ref="E5:E10" si="1">SUM(C5:D5)</f>
        <v>41330734</v>
      </c>
      <c r="F5" s="70">
        <v>41735880</v>
      </c>
      <c r="G5" s="185">
        <f t="shared" ref="G5:G16" si="2">E5-B5</f>
        <v>1373056</v>
      </c>
      <c r="H5" s="185">
        <f t="shared" si="0"/>
        <v>-5224100</v>
      </c>
    </row>
    <row r="6" spans="1:8" ht="27" customHeight="1" x14ac:dyDescent="0.2">
      <c r="A6" s="2" t="s">
        <v>204</v>
      </c>
      <c r="B6" s="185">
        <v>39957678</v>
      </c>
      <c r="C6" s="231">
        <v>41098087</v>
      </c>
      <c r="D6" s="231">
        <v>10680</v>
      </c>
      <c r="E6" s="231">
        <f t="shared" si="1"/>
        <v>41108767</v>
      </c>
      <c r="F6" s="70">
        <v>41429557</v>
      </c>
      <c r="G6" s="185">
        <f>E6-B6</f>
        <v>1151089</v>
      </c>
      <c r="H6" s="185">
        <f t="shared" si="0"/>
        <v>-4073011</v>
      </c>
    </row>
    <row r="7" spans="1:8" ht="27" customHeight="1" x14ac:dyDescent="0.2">
      <c r="A7" s="2" t="s">
        <v>205</v>
      </c>
      <c r="B7" s="185">
        <v>43953446</v>
      </c>
      <c r="C7" s="231">
        <v>45763857</v>
      </c>
      <c r="D7" s="231">
        <v>10732</v>
      </c>
      <c r="E7" s="231">
        <f t="shared" si="1"/>
        <v>45774589</v>
      </c>
      <c r="F7" s="70">
        <v>45848802</v>
      </c>
      <c r="G7" s="185">
        <f>E7-B7</f>
        <v>1821143</v>
      </c>
      <c r="H7" s="185">
        <f t="shared" si="0"/>
        <v>-2251868</v>
      </c>
    </row>
    <row r="8" spans="1:8" ht="27" customHeight="1" x14ac:dyDescent="0.2">
      <c r="A8" s="2" t="s">
        <v>206</v>
      </c>
      <c r="B8" s="185">
        <v>41953446</v>
      </c>
      <c r="C8" s="231">
        <v>42071210</v>
      </c>
      <c r="D8" s="231">
        <v>11608</v>
      </c>
      <c r="E8" s="231">
        <f t="shared" si="1"/>
        <v>42082818</v>
      </c>
      <c r="F8" s="70">
        <v>42166145</v>
      </c>
      <c r="G8" s="185">
        <f t="shared" si="2"/>
        <v>129372</v>
      </c>
      <c r="H8" s="185">
        <f t="shared" si="0"/>
        <v>-2122496</v>
      </c>
    </row>
    <row r="9" spans="1:8" ht="27" customHeight="1" x14ac:dyDescent="0.2">
      <c r="A9" s="2" t="s">
        <v>207</v>
      </c>
      <c r="B9" s="185">
        <v>39957678</v>
      </c>
      <c r="C9" s="231">
        <v>38591626</v>
      </c>
      <c r="D9" s="231">
        <v>9493</v>
      </c>
      <c r="E9" s="231">
        <f t="shared" si="1"/>
        <v>38601119</v>
      </c>
      <c r="F9" s="70">
        <v>38763815</v>
      </c>
      <c r="G9" s="185">
        <f t="shared" si="2"/>
        <v>-1356559</v>
      </c>
      <c r="H9" s="185">
        <f t="shared" si="0"/>
        <v>-3479055</v>
      </c>
    </row>
    <row r="10" spans="1:8" ht="27" customHeight="1" x14ac:dyDescent="0.2">
      <c r="A10" s="2" t="s">
        <v>208</v>
      </c>
      <c r="B10" s="185">
        <v>36966142</v>
      </c>
      <c r="C10" s="231">
        <v>43238246</v>
      </c>
      <c r="D10" s="231">
        <v>6417</v>
      </c>
      <c r="E10" s="231">
        <f t="shared" si="1"/>
        <v>43244663</v>
      </c>
      <c r="F10" s="185">
        <v>43515188</v>
      </c>
      <c r="G10" s="185">
        <f t="shared" si="2"/>
        <v>6278521</v>
      </c>
      <c r="H10" s="185">
        <f t="shared" si="0"/>
        <v>2799466</v>
      </c>
    </row>
    <row r="11" spans="1:8" ht="27" customHeight="1" x14ac:dyDescent="0.2">
      <c r="A11" s="2" t="s">
        <v>209</v>
      </c>
      <c r="B11" s="185">
        <v>35961910</v>
      </c>
      <c r="C11" s="231">
        <v>34019685</v>
      </c>
      <c r="D11" s="231">
        <v>17576</v>
      </c>
      <c r="E11" s="231">
        <f t="shared" ref="E11:E16" si="3">SUM(C11:D11)</f>
        <v>34037261</v>
      </c>
      <c r="F11" s="185">
        <v>34374900</v>
      </c>
      <c r="G11" s="185">
        <f t="shared" si="2"/>
        <v>-1924649</v>
      </c>
      <c r="H11" s="185">
        <f t="shared" si="0"/>
        <v>874817</v>
      </c>
    </row>
    <row r="12" spans="1:8" ht="27" customHeight="1" x14ac:dyDescent="0.2">
      <c r="A12" s="2" t="s">
        <v>210</v>
      </c>
      <c r="B12" s="185">
        <v>35961910</v>
      </c>
      <c r="C12" s="231">
        <v>28985360</v>
      </c>
      <c r="D12" s="231">
        <v>4723</v>
      </c>
      <c r="E12" s="231">
        <f t="shared" si="3"/>
        <v>28990083</v>
      </c>
      <c r="F12" s="185">
        <v>29325107</v>
      </c>
      <c r="G12" s="185">
        <f t="shared" si="2"/>
        <v>-6971827</v>
      </c>
      <c r="H12" s="185">
        <f t="shared" si="0"/>
        <v>-6097010</v>
      </c>
    </row>
    <row r="13" spans="1:8" ht="27" customHeight="1" x14ac:dyDescent="0.2">
      <c r="A13" s="2" t="s">
        <v>211</v>
      </c>
      <c r="B13" s="185">
        <v>42953446</v>
      </c>
      <c r="C13" s="231">
        <v>44200417</v>
      </c>
      <c r="D13" s="231">
        <v>21164</v>
      </c>
      <c r="E13" s="231">
        <f t="shared" si="3"/>
        <v>44221581</v>
      </c>
      <c r="F13" s="185">
        <v>44099410</v>
      </c>
      <c r="G13" s="185">
        <f t="shared" si="2"/>
        <v>1268135</v>
      </c>
      <c r="H13" s="185">
        <f t="shared" si="0"/>
        <v>-4828875</v>
      </c>
    </row>
    <row r="14" spans="1:8" ht="27" customHeight="1" x14ac:dyDescent="0.2">
      <c r="A14" s="2" t="s">
        <v>212</v>
      </c>
      <c r="B14" s="185">
        <v>41953446</v>
      </c>
      <c r="C14" s="185">
        <v>41259529</v>
      </c>
      <c r="D14" s="185">
        <v>10179</v>
      </c>
      <c r="E14" s="231">
        <f t="shared" si="3"/>
        <v>41269708</v>
      </c>
      <c r="F14" s="185">
        <v>41309739</v>
      </c>
      <c r="G14" s="185">
        <f t="shared" si="2"/>
        <v>-683738</v>
      </c>
      <c r="H14" s="185">
        <f t="shared" si="0"/>
        <v>-5512613</v>
      </c>
    </row>
    <row r="15" spans="1:8" ht="27" customHeight="1" x14ac:dyDescent="0.2">
      <c r="A15" s="2" t="s">
        <v>201</v>
      </c>
      <c r="B15" s="185">
        <v>43953446</v>
      </c>
      <c r="C15" s="185">
        <v>43713178</v>
      </c>
      <c r="D15" s="185">
        <v>21440</v>
      </c>
      <c r="E15" s="231">
        <f t="shared" si="3"/>
        <v>43734618</v>
      </c>
      <c r="F15" s="185">
        <v>43734469</v>
      </c>
      <c r="G15" s="185">
        <f t="shared" si="2"/>
        <v>-218828</v>
      </c>
      <c r="H15" s="185">
        <f t="shared" si="0"/>
        <v>-5731441</v>
      </c>
    </row>
    <row r="16" spans="1:8" ht="27" customHeight="1" x14ac:dyDescent="0.2">
      <c r="A16" s="2" t="s">
        <v>202</v>
      </c>
      <c r="B16" s="185">
        <v>35961910</v>
      </c>
      <c r="C16" s="185">
        <v>34406179</v>
      </c>
      <c r="D16" s="185">
        <v>9215</v>
      </c>
      <c r="E16" s="231">
        <f t="shared" si="3"/>
        <v>34415394</v>
      </c>
      <c r="F16" s="185">
        <f>34496797+6958</f>
        <v>34503755</v>
      </c>
      <c r="G16" s="185">
        <f t="shared" si="2"/>
        <v>-1546516</v>
      </c>
      <c r="H16" s="185">
        <f t="shared" si="0"/>
        <v>-7277957</v>
      </c>
    </row>
    <row r="17" spans="1:8" s="234" customFormat="1" ht="27" customHeight="1" x14ac:dyDescent="0.2">
      <c r="A17" s="232" t="s">
        <v>165</v>
      </c>
      <c r="B17" s="233">
        <f t="shared" ref="B17:G17" si="4">SUM(B3:B16)</f>
        <v>559407492</v>
      </c>
      <c r="C17" s="233">
        <f t="shared" si="4"/>
        <v>551963133</v>
      </c>
      <c r="D17" s="233">
        <f t="shared" si="4"/>
        <v>166402</v>
      </c>
      <c r="E17" s="233">
        <f t="shared" si="4"/>
        <v>552129535</v>
      </c>
      <c r="F17" s="233">
        <f t="shared" si="4"/>
        <v>554571223</v>
      </c>
      <c r="G17" s="233">
        <f t="shared" si="4"/>
        <v>-7277957</v>
      </c>
      <c r="H17" s="233"/>
    </row>
    <row r="19" spans="1:8" ht="27" customHeight="1" x14ac:dyDescent="0.2">
      <c r="B19" s="195"/>
      <c r="F19" s="195"/>
    </row>
    <row r="20" spans="1:8" ht="27" customHeight="1" x14ac:dyDescent="0.2">
      <c r="F20" s="462"/>
    </row>
    <row r="24" spans="1:8" ht="27" customHeight="1" x14ac:dyDescent="0.2">
      <c r="D24" s="235"/>
    </row>
  </sheetData>
  <mergeCells count="5">
    <mergeCell ref="A1:A2"/>
    <mergeCell ref="B1:B2"/>
    <mergeCell ref="C1:E1"/>
    <mergeCell ref="F1:F2"/>
    <mergeCell ref="G1:H1"/>
  </mergeCells>
  <conditionalFormatting sqref="A1:IV65538">
    <cfRule type="cellIs" dxfId="19" priority="11" stopIfTrue="1" operator="equal">
      <formula>0</formula>
    </cfRule>
  </conditionalFormatting>
  <conditionalFormatting sqref="C3:E4 E5:E10">
    <cfRule type="cellIs" dxfId="18" priority="10" stopIfTrue="1" operator="equal">
      <formula>0</formula>
    </cfRule>
  </conditionalFormatting>
  <conditionalFormatting sqref="C3:D4">
    <cfRule type="cellIs" dxfId="17" priority="9" stopIfTrue="1" operator="equal">
      <formula>0</formula>
    </cfRule>
  </conditionalFormatting>
  <conditionalFormatting sqref="F3">
    <cfRule type="cellIs" dxfId="16" priority="8" stopIfTrue="1" operator="equal">
      <formula>0</formula>
    </cfRule>
  </conditionalFormatting>
  <conditionalFormatting sqref="F4">
    <cfRule type="cellIs" dxfId="15" priority="7" stopIfTrue="1" operator="equal">
      <formula>0</formula>
    </cfRule>
  </conditionalFormatting>
  <conditionalFormatting sqref="F5">
    <cfRule type="cellIs" dxfId="14" priority="6" stopIfTrue="1" operator="equal">
      <formula>0</formula>
    </cfRule>
  </conditionalFormatting>
  <conditionalFormatting sqref="F6">
    <cfRule type="cellIs" dxfId="13" priority="5" stopIfTrue="1" operator="equal">
      <formula>0</formula>
    </cfRule>
  </conditionalFormatting>
  <conditionalFormatting sqref="F7">
    <cfRule type="cellIs" dxfId="12" priority="4" stopIfTrue="1" operator="equal">
      <formula>0</formula>
    </cfRule>
  </conditionalFormatting>
  <conditionalFormatting sqref="F8">
    <cfRule type="cellIs" dxfId="11" priority="3" stopIfTrue="1" operator="equal">
      <formula>0</formula>
    </cfRule>
  </conditionalFormatting>
  <conditionalFormatting sqref="F9">
    <cfRule type="cellIs" dxfId="10" priority="2" stopIfTrue="1" operator="equal">
      <formula>0</formula>
    </cfRule>
  </conditionalFormatting>
  <conditionalFormatting sqref="C5:E10 E11:E16">
    <cfRule type="cellIs" dxfId="9" priority="1" stopIfTrue="1" operator="equal">
      <formula>0</formula>
    </cfRule>
  </conditionalFormatting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Header>&amp;C&amp;"Arial CE,Félkövér"&amp;12Az OEP által előírt teljesítmény volumen korlát (TVK) teljesítése 2015 évben&amp;R4. sz.melléklet</oddHeader>
    <oddFooter>&amp;L&amp;D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zoomScale="80" zoomScaleNormal="80" workbookViewId="0">
      <selection activeCell="O1" sqref="O1"/>
    </sheetView>
  </sheetViews>
  <sheetFormatPr defaultRowHeight="21" customHeight="1" x14ac:dyDescent="0.2"/>
  <cols>
    <col min="1" max="1" width="3.140625" style="3" customWidth="1"/>
    <col min="2" max="2" width="38.140625" style="8" customWidth="1"/>
    <col min="3" max="5" width="9.5703125" style="8" customWidth="1"/>
    <col min="6" max="8" width="9.7109375" style="8" customWidth="1"/>
    <col min="9" max="11" width="9.7109375" style="83" customWidth="1"/>
    <col min="12" max="14" width="8.85546875" style="8" customWidth="1"/>
    <col min="15" max="16384" width="9.140625" style="8"/>
  </cols>
  <sheetData>
    <row r="1" spans="1:16" s="3" customFormat="1" ht="41.25" customHeight="1" x14ac:dyDescent="0.2">
      <c r="A1" s="501" t="s">
        <v>0</v>
      </c>
      <c r="B1" s="502"/>
      <c r="C1" s="507" t="s">
        <v>458</v>
      </c>
      <c r="D1" s="506"/>
      <c r="E1" s="508"/>
      <c r="F1" s="505" t="s">
        <v>122</v>
      </c>
      <c r="G1" s="497"/>
      <c r="H1" s="498"/>
      <c r="I1" s="506" t="s">
        <v>459</v>
      </c>
      <c r="J1" s="506"/>
      <c r="K1" s="506"/>
      <c r="L1" s="505" t="s">
        <v>461</v>
      </c>
      <c r="M1" s="497"/>
      <c r="N1" s="498"/>
    </row>
    <row r="2" spans="1:16" ht="21" customHeight="1" x14ac:dyDescent="0.2">
      <c r="A2" s="503"/>
      <c r="B2" s="504"/>
      <c r="C2" s="5" t="s">
        <v>1</v>
      </c>
      <c r="D2" s="6" t="s">
        <v>2</v>
      </c>
      <c r="E2" s="7" t="s">
        <v>105</v>
      </c>
      <c r="F2" s="5" t="s">
        <v>1</v>
      </c>
      <c r="G2" s="6" t="s">
        <v>2</v>
      </c>
      <c r="H2" s="7" t="s">
        <v>105</v>
      </c>
      <c r="I2" s="106" t="s">
        <v>1</v>
      </c>
      <c r="J2" s="93" t="s">
        <v>2</v>
      </c>
      <c r="K2" s="7" t="s">
        <v>105</v>
      </c>
      <c r="L2" s="5" t="s">
        <v>1</v>
      </c>
      <c r="M2" s="6" t="s">
        <v>2</v>
      </c>
      <c r="N2" s="7" t="s">
        <v>105</v>
      </c>
    </row>
    <row r="3" spans="1:16" ht="21" customHeight="1" x14ac:dyDescent="0.2">
      <c r="A3" s="4">
        <v>1</v>
      </c>
      <c r="B3" s="9" t="s">
        <v>4</v>
      </c>
      <c r="C3" s="118">
        <f>SUM(C4:C19)</f>
        <v>1438719</v>
      </c>
      <c r="D3" s="11">
        <f>SUM(D4:D19)</f>
        <v>37487</v>
      </c>
      <c r="E3" s="12">
        <f t="shared" ref="E3:E11" si="0">SUM(C3:D3)</f>
        <v>1476206</v>
      </c>
      <c r="F3" s="118">
        <f>SUM(F4:F19)</f>
        <v>1464098</v>
      </c>
      <c r="G3" s="11">
        <f>SUM(G4:G19)</f>
        <v>41500</v>
      </c>
      <c r="H3" s="12">
        <f t="shared" ref="H3:H23" si="1">SUM(F3:G3)</f>
        <v>1505598</v>
      </c>
      <c r="I3" s="60">
        <f>SUM(I4:I19)</f>
        <v>1460847</v>
      </c>
      <c r="J3" s="61">
        <f>SUM(J4:J19)</f>
        <v>30094</v>
      </c>
      <c r="K3" s="14">
        <f t="shared" ref="K3:K23" si="2">SUM(I3:J3)</f>
        <v>1490941</v>
      </c>
      <c r="L3" s="15">
        <f t="shared" ref="L3:N7" si="3">I3/F3</f>
        <v>0.99777952022337302</v>
      </c>
      <c r="M3" s="16">
        <f t="shared" si="3"/>
        <v>0.72515662650602408</v>
      </c>
      <c r="N3" s="17">
        <f t="shared" si="3"/>
        <v>0.99026499769526788</v>
      </c>
    </row>
    <row r="4" spans="1:16" ht="21" customHeight="1" x14ac:dyDescent="0.2">
      <c r="A4" s="4"/>
      <c r="B4" s="18" t="s">
        <v>5</v>
      </c>
      <c r="C4" s="124">
        <v>716035</v>
      </c>
      <c r="D4" s="125">
        <v>5728</v>
      </c>
      <c r="E4" s="20">
        <f t="shared" si="0"/>
        <v>721763</v>
      </c>
      <c r="F4" s="124">
        <v>736098</v>
      </c>
      <c r="G4" s="125">
        <v>8000</v>
      </c>
      <c r="H4" s="20">
        <f t="shared" si="1"/>
        <v>744098</v>
      </c>
      <c r="I4" s="77">
        <v>724262</v>
      </c>
      <c r="J4" s="70">
        <v>5037</v>
      </c>
      <c r="K4" s="107">
        <f t="shared" si="2"/>
        <v>729299</v>
      </c>
      <c r="L4" s="21">
        <f t="shared" si="3"/>
        <v>0.98392061926536956</v>
      </c>
      <c r="M4" s="22">
        <f t="shared" si="3"/>
        <v>0.62962499999999999</v>
      </c>
      <c r="N4" s="23">
        <f t="shared" si="3"/>
        <v>0.98011149069074233</v>
      </c>
      <c r="O4" s="49"/>
      <c r="P4" s="49"/>
    </row>
    <row r="5" spans="1:16" ht="21" customHeight="1" x14ac:dyDescent="0.2">
      <c r="A5" s="4"/>
      <c r="B5" s="18" t="s">
        <v>43</v>
      </c>
      <c r="C5" s="124">
        <v>88540</v>
      </c>
      <c r="D5" s="125">
        <v>1478</v>
      </c>
      <c r="E5" s="20">
        <f t="shared" si="0"/>
        <v>90018</v>
      </c>
      <c r="F5" s="124">
        <v>90000</v>
      </c>
      <c r="G5" s="125">
        <v>1500</v>
      </c>
      <c r="H5" s="20">
        <f t="shared" si="1"/>
        <v>91500</v>
      </c>
      <c r="I5" s="77">
        <v>87085</v>
      </c>
      <c r="J5" s="70">
        <v>1151</v>
      </c>
      <c r="K5" s="107">
        <f t="shared" si="2"/>
        <v>88236</v>
      </c>
      <c r="L5" s="21">
        <f>I5/F5</f>
        <v>0.96761111111111109</v>
      </c>
      <c r="M5" s="22">
        <f>J5/G5</f>
        <v>0.76733333333333331</v>
      </c>
      <c r="N5" s="23">
        <f>K5/H5</f>
        <v>0.96432786885245902</v>
      </c>
      <c r="O5" s="49"/>
      <c r="P5" s="49"/>
    </row>
    <row r="6" spans="1:16" ht="21" customHeight="1" x14ac:dyDescent="0.2">
      <c r="A6" s="4"/>
      <c r="B6" s="18" t="s">
        <v>97</v>
      </c>
      <c r="C6" s="124"/>
      <c r="D6" s="125"/>
      <c r="E6" s="20">
        <f t="shared" si="0"/>
        <v>0</v>
      </c>
      <c r="F6" s="124"/>
      <c r="G6" s="125"/>
      <c r="H6" s="20">
        <f t="shared" si="1"/>
        <v>0</v>
      </c>
      <c r="I6" s="77"/>
      <c r="J6" s="70">
        <v>25</v>
      </c>
      <c r="K6" s="107">
        <f t="shared" si="2"/>
        <v>25</v>
      </c>
      <c r="L6" s="21"/>
      <c r="M6" s="22"/>
      <c r="N6" s="23"/>
      <c r="O6" s="49"/>
      <c r="P6" s="49"/>
    </row>
    <row r="7" spans="1:16" ht="21" customHeight="1" x14ac:dyDescent="0.2">
      <c r="A7" s="4"/>
      <c r="B7" s="18" t="s">
        <v>42</v>
      </c>
      <c r="C7" s="124">
        <v>147934</v>
      </c>
      <c r="D7" s="125">
        <v>597</v>
      </c>
      <c r="E7" s="20">
        <f t="shared" si="0"/>
        <v>148531</v>
      </c>
      <c r="F7" s="124">
        <v>150000</v>
      </c>
      <c r="G7" s="125">
        <v>2000</v>
      </c>
      <c r="H7" s="20">
        <f t="shared" si="1"/>
        <v>152000</v>
      </c>
      <c r="I7" s="77">
        <v>151303</v>
      </c>
      <c r="J7" s="70">
        <v>528</v>
      </c>
      <c r="K7" s="107">
        <f t="shared" si="2"/>
        <v>151831</v>
      </c>
      <c r="L7" s="21">
        <f t="shared" si="3"/>
        <v>1.0086866666666667</v>
      </c>
      <c r="M7" s="22">
        <f t="shared" si="3"/>
        <v>0.26400000000000001</v>
      </c>
      <c r="N7" s="23">
        <f t="shared" si="3"/>
        <v>0.99888815789473684</v>
      </c>
      <c r="O7" s="49"/>
      <c r="P7" s="49"/>
    </row>
    <row r="8" spans="1:16" ht="21" customHeight="1" x14ac:dyDescent="0.2">
      <c r="A8" s="4"/>
      <c r="B8" s="18" t="s">
        <v>6</v>
      </c>
      <c r="C8" s="124">
        <v>70842</v>
      </c>
      <c r="D8" s="125"/>
      <c r="E8" s="20">
        <f t="shared" si="0"/>
        <v>70842</v>
      </c>
      <c r="F8" s="124">
        <v>70000</v>
      </c>
      <c r="G8" s="125"/>
      <c r="H8" s="20">
        <f t="shared" si="1"/>
        <v>70000</v>
      </c>
      <c r="I8" s="77">
        <v>71586</v>
      </c>
      <c r="J8" s="70"/>
      <c r="K8" s="107">
        <f t="shared" si="2"/>
        <v>71586</v>
      </c>
      <c r="L8" s="21">
        <f t="shared" ref="L8:L14" si="4">I8/F8</f>
        <v>1.0226571428571429</v>
      </c>
      <c r="M8" s="22"/>
      <c r="N8" s="23">
        <f t="shared" ref="N8:N25" si="5">K8/H8</f>
        <v>1.0226571428571429</v>
      </c>
      <c r="O8" s="49"/>
      <c r="P8" s="49"/>
    </row>
    <row r="9" spans="1:16" ht="21" customHeight="1" x14ac:dyDescent="0.2">
      <c r="A9" s="4"/>
      <c r="B9" s="18" t="s">
        <v>7</v>
      </c>
      <c r="C9" s="124">
        <v>17842</v>
      </c>
      <c r="D9" s="125">
        <v>21</v>
      </c>
      <c r="E9" s="20">
        <f t="shared" si="0"/>
        <v>17863</v>
      </c>
      <c r="F9" s="124">
        <v>18500</v>
      </c>
      <c r="G9" s="125"/>
      <c r="H9" s="20">
        <f t="shared" si="1"/>
        <v>18500</v>
      </c>
      <c r="I9" s="77">
        <v>18056</v>
      </c>
      <c r="J9" s="70">
        <v>3</v>
      </c>
      <c r="K9" s="107">
        <f t="shared" si="2"/>
        <v>18059</v>
      </c>
      <c r="L9" s="21">
        <f t="shared" si="4"/>
        <v>0.97599999999999998</v>
      </c>
      <c r="M9" s="22"/>
      <c r="N9" s="23">
        <f t="shared" si="5"/>
        <v>0.97616216216216212</v>
      </c>
      <c r="O9" s="49"/>
      <c r="P9" s="49"/>
    </row>
    <row r="10" spans="1:16" ht="21" customHeight="1" x14ac:dyDescent="0.2">
      <c r="A10" s="4"/>
      <c r="B10" s="18" t="s">
        <v>106</v>
      </c>
      <c r="C10" s="124">
        <v>5586</v>
      </c>
      <c r="D10" s="125"/>
      <c r="E10" s="20">
        <f t="shared" si="0"/>
        <v>5586</v>
      </c>
      <c r="F10" s="124">
        <v>5500</v>
      </c>
      <c r="G10" s="125"/>
      <c r="H10" s="20">
        <f t="shared" si="1"/>
        <v>5500</v>
      </c>
      <c r="I10" s="77">
        <v>5223</v>
      </c>
      <c r="J10" s="70"/>
      <c r="K10" s="107">
        <f t="shared" si="2"/>
        <v>5223</v>
      </c>
      <c r="L10" s="21">
        <f t="shared" si="4"/>
        <v>0.94963636363636361</v>
      </c>
      <c r="M10" s="22"/>
      <c r="N10" s="23">
        <f t="shared" si="5"/>
        <v>0.94963636363636361</v>
      </c>
      <c r="O10" s="49"/>
      <c r="P10" s="49"/>
    </row>
    <row r="11" spans="1:16" ht="21" customHeight="1" x14ac:dyDescent="0.2">
      <c r="A11" s="129"/>
      <c r="B11" s="18" t="s">
        <v>126</v>
      </c>
      <c r="C11" s="124"/>
      <c r="D11" s="125"/>
      <c r="E11" s="20">
        <f t="shared" si="0"/>
        <v>0</v>
      </c>
      <c r="F11" s="124"/>
      <c r="G11" s="125"/>
      <c r="H11" s="20"/>
      <c r="I11" s="77">
        <v>4590</v>
      </c>
      <c r="J11" s="70"/>
      <c r="K11" s="107">
        <f t="shared" si="2"/>
        <v>4590</v>
      </c>
      <c r="L11" s="21"/>
      <c r="M11" s="22"/>
      <c r="N11" s="23"/>
      <c r="O11" s="49"/>
      <c r="P11" s="49"/>
    </row>
    <row r="12" spans="1:16" ht="21" customHeight="1" x14ac:dyDescent="0.2">
      <c r="A12" s="4"/>
      <c r="B12" s="18" t="s">
        <v>8</v>
      </c>
      <c r="C12" s="124">
        <v>9263</v>
      </c>
      <c r="D12" s="125"/>
      <c r="E12" s="20">
        <f t="shared" ref="E12:E23" si="6">SUM(C12:D12)</f>
        <v>9263</v>
      </c>
      <c r="F12" s="124">
        <v>10000</v>
      </c>
      <c r="G12" s="125"/>
      <c r="H12" s="20">
        <f t="shared" si="1"/>
        <v>10000</v>
      </c>
      <c r="I12" s="77">
        <v>9129</v>
      </c>
      <c r="J12" s="70"/>
      <c r="K12" s="107">
        <f t="shared" si="2"/>
        <v>9129</v>
      </c>
      <c r="L12" s="21">
        <f t="shared" si="4"/>
        <v>0.91290000000000004</v>
      </c>
      <c r="M12" s="22"/>
      <c r="N12" s="23">
        <f t="shared" si="5"/>
        <v>0.91290000000000004</v>
      </c>
      <c r="O12" s="49"/>
      <c r="P12" s="49"/>
    </row>
    <row r="13" spans="1:16" ht="21" customHeight="1" x14ac:dyDescent="0.2">
      <c r="A13" s="4"/>
      <c r="B13" s="18" t="s">
        <v>9</v>
      </c>
      <c r="C13" s="124">
        <v>190526</v>
      </c>
      <c r="D13" s="125"/>
      <c r="E13" s="20">
        <f t="shared" si="6"/>
        <v>190526</v>
      </c>
      <c r="F13" s="124">
        <v>190000</v>
      </c>
      <c r="G13" s="125"/>
      <c r="H13" s="20">
        <f t="shared" si="1"/>
        <v>190000</v>
      </c>
      <c r="I13" s="77">
        <v>195897</v>
      </c>
      <c r="J13" s="70"/>
      <c r="K13" s="107">
        <f t="shared" si="2"/>
        <v>195897</v>
      </c>
      <c r="L13" s="21">
        <f t="shared" si="4"/>
        <v>1.0310368421052631</v>
      </c>
      <c r="M13" s="22"/>
      <c r="N13" s="23">
        <f t="shared" si="5"/>
        <v>1.0310368421052631</v>
      </c>
      <c r="O13" s="49"/>
      <c r="P13" s="49"/>
    </row>
    <row r="14" spans="1:16" ht="21" customHeight="1" x14ac:dyDescent="0.2">
      <c r="A14" s="4"/>
      <c r="B14" s="18" t="s">
        <v>10</v>
      </c>
      <c r="C14" s="124">
        <v>37451</v>
      </c>
      <c r="D14" s="125"/>
      <c r="E14" s="20">
        <f t="shared" si="6"/>
        <v>37451</v>
      </c>
      <c r="F14" s="124">
        <v>36000</v>
      </c>
      <c r="G14" s="125"/>
      <c r="H14" s="20">
        <f t="shared" si="1"/>
        <v>36000</v>
      </c>
      <c r="I14" s="77">
        <v>36787</v>
      </c>
      <c r="J14" s="70"/>
      <c r="K14" s="107">
        <f t="shared" si="2"/>
        <v>36787</v>
      </c>
      <c r="L14" s="21">
        <f t="shared" si="4"/>
        <v>1.0218611111111111</v>
      </c>
      <c r="M14" s="22"/>
      <c r="N14" s="23">
        <f t="shared" si="5"/>
        <v>1.0218611111111111</v>
      </c>
      <c r="O14" s="49"/>
      <c r="P14" s="49"/>
    </row>
    <row r="15" spans="1:16" ht="21" customHeight="1" x14ac:dyDescent="0.2">
      <c r="A15" s="4"/>
      <c r="B15" s="18" t="s">
        <v>11</v>
      </c>
      <c r="C15" s="124"/>
      <c r="D15" s="125">
        <v>19587</v>
      </c>
      <c r="E15" s="20">
        <f t="shared" si="6"/>
        <v>19587</v>
      </c>
      <c r="F15" s="124"/>
      <c r="G15" s="125">
        <v>19000</v>
      </c>
      <c r="H15" s="20">
        <f t="shared" si="1"/>
        <v>19000</v>
      </c>
      <c r="I15" s="77"/>
      <c r="J15" s="70">
        <v>15762</v>
      </c>
      <c r="K15" s="107">
        <f t="shared" si="2"/>
        <v>15762</v>
      </c>
      <c r="L15" s="21"/>
      <c r="M15" s="22">
        <f t="shared" ref="M15:M23" si="7">J15/G15</f>
        <v>0.82957894736842108</v>
      </c>
      <c r="N15" s="23">
        <f t="shared" si="5"/>
        <v>0.82957894736842108</v>
      </c>
      <c r="O15" s="49"/>
      <c r="P15" s="49"/>
    </row>
    <row r="16" spans="1:16" ht="21" customHeight="1" x14ac:dyDescent="0.2">
      <c r="A16" s="4"/>
      <c r="B16" s="18" t="s">
        <v>89</v>
      </c>
      <c r="C16" s="124"/>
      <c r="D16" s="125">
        <v>10076</v>
      </c>
      <c r="E16" s="20">
        <f t="shared" si="6"/>
        <v>10076</v>
      </c>
      <c r="F16" s="124"/>
      <c r="G16" s="125">
        <v>11000</v>
      </c>
      <c r="H16" s="20">
        <f t="shared" si="1"/>
        <v>11000</v>
      </c>
      <c r="I16" s="77"/>
      <c r="J16" s="70">
        <v>7588</v>
      </c>
      <c r="K16" s="107">
        <f t="shared" si="2"/>
        <v>7588</v>
      </c>
      <c r="L16" s="21"/>
      <c r="M16" s="22">
        <f t="shared" si="7"/>
        <v>0.68981818181818177</v>
      </c>
      <c r="N16" s="23">
        <f>K16/H16</f>
        <v>0.68981818181818177</v>
      </c>
      <c r="O16" s="49"/>
      <c r="P16" s="49"/>
    </row>
    <row r="17" spans="1:16" ht="21" customHeight="1" x14ac:dyDescent="0.2">
      <c r="A17" s="82"/>
      <c r="B17" s="25" t="s">
        <v>99</v>
      </c>
      <c r="C17" s="124">
        <v>19764</v>
      </c>
      <c r="D17" s="125"/>
      <c r="E17" s="20">
        <f t="shared" si="6"/>
        <v>19764</v>
      </c>
      <c r="F17" s="124">
        <v>20000</v>
      </c>
      <c r="G17" s="125"/>
      <c r="H17" s="20">
        <f t="shared" si="1"/>
        <v>20000</v>
      </c>
      <c r="I17" s="77">
        <v>20228</v>
      </c>
      <c r="J17" s="70"/>
      <c r="K17" s="107">
        <f t="shared" si="2"/>
        <v>20228</v>
      </c>
      <c r="L17" s="21">
        <f>I17/F17</f>
        <v>1.0114000000000001</v>
      </c>
      <c r="M17" s="22"/>
      <c r="N17" s="23">
        <f>K17/H17</f>
        <v>1.0114000000000001</v>
      </c>
      <c r="O17" s="49"/>
      <c r="P17" s="49"/>
    </row>
    <row r="18" spans="1:16" ht="21" customHeight="1" x14ac:dyDescent="0.2">
      <c r="A18" s="82"/>
      <c r="B18" s="25" t="s">
        <v>111</v>
      </c>
      <c r="C18" s="124">
        <v>134936</v>
      </c>
      <c r="D18" s="125"/>
      <c r="E18" s="20">
        <f t="shared" si="6"/>
        <v>134936</v>
      </c>
      <c r="F18" s="124">
        <v>138000</v>
      </c>
      <c r="G18" s="125"/>
      <c r="H18" s="20">
        <f t="shared" si="1"/>
        <v>138000</v>
      </c>
      <c r="I18" s="77">
        <v>135266</v>
      </c>
      <c r="J18" s="77"/>
      <c r="K18" s="107">
        <f t="shared" si="2"/>
        <v>135266</v>
      </c>
      <c r="L18" s="21"/>
      <c r="M18" s="22"/>
      <c r="N18" s="23">
        <f>K18/H18</f>
        <v>0.98018840579710143</v>
      </c>
      <c r="O18" s="49"/>
      <c r="P18" s="49"/>
    </row>
    <row r="19" spans="1:16" ht="21" customHeight="1" x14ac:dyDescent="0.2">
      <c r="A19" s="82"/>
      <c r="B19" s="25" t="s">
        <v>456</v>
      </c>
      <c r="C19" s="124"/>
      <c r="D19" s="125"/>
      <c r="E19" s="20"/>
      <c r="F19" s="124"/>
      <c r="G19" s="125"/>
      <c r="H19" s="20"/>
      <c r="I19" s="77">
        <v>1435</v>
      </c>
      <c r="J19" s="77"/>
      <c r="K19" s="107"/>
      <c r="L19" s="21"/>
      <c r="M19" s="22"/>
      <c r="N19" s="23"/>
      <c r="O19" s="49"/>
      <c r="P19" s="49"/>
    </row>
    <row r="20" spans="1:16" ht="21" customHeight="1" x14ac:dyDescent="0.2">
      <c r="A20" s="4">
        <v>3</v>
      </c>
      <c r="B20" s="25" t="s">
        <v>12</v>
      </c>
      <c r="C20" s="124"/>
      <c r="D20" s="125">
        <v>106953</v>
      </c>
      <c r="E20" s="20">
        <f t="shared" si="6"/>
        <v>106953</v>
      </c>
      <c r="F20" s="124"/>
      <c r="G20" s="125">
        <v>111000</v>
      </c>
      <c r="H20" s="20">
        <f t="shared" si="1"/>
        <v>111000</v>
      </c>
      <c r="I20" s="77"/>
      <c r="J20" s="77">
        <v>102889</v>
      </c>
      <c r="K20" s="107">
        <f t="shared" si="2"/>
        <v>102889</v>
      </c>
      <c r="L20" s="21"/>
      <c r="M20" s="22">
        <f t="shared" si="7"/>
        <v>0.92692792792792789</v>
      </c>
      <c r="N20" s="23">
        <f t="shared" si="5"/>
        <v>0.92692792792792789</v>
      </c>
      <c r="O20" s="49"/>
      <c r="P20" s="49"/>
    </row>
    <row r="21" spans="1:16" ht="21" customHeight="1" x14ac:dyDescent="0.2">
      <c r="A21" s="4">
        <v>4</v>
      </c>
      <c r="B21" s="25" t="s">
        <v>13</v>
      </c>
      <c r="C21" s="124"/>
      <c r="D21" s="125">
        <v>15105</v>
      </c>
      <c r="E21" s="20">
        <f t="shared" si="6"/>
        <v>15105</v>
      </c>
      <c r="F21" s="124"/>
      <c r="G21" s="125">
        <v>16000</v>
      </c>
      <c r="H21" s="20">
        <f t="shared" si="1"/>
        <v>16000</v>
      </c>
      <c r="I21" s="77"/>
      <c r="J21" s="70">
        <v>12821</v>
      </c>
      <c r="K21" s="107">
        <f t="shared" si="2"/>
        <v>12821</v>
      </c>
      <c r="L21" s="21"/>
      <c r="M21" s="22">
        <f t="shared" si="7"/>
        <v>0.80131249999999998</v>
      </c>
      <c r="N21" s="23">
        <f>K21/H21</f>
        <v>0.80131249999999998</v>
      </c>
      <c r="O21" s="49"/>
      <c r="P21" s="49"/>
    </row>
    <row r="22" spans="1:16" ht="21" customHeight="1" x14ac:dyDescent="0.2">
      <c r="A22" s="4">
        <v>5</v>
      </c>
      <c r="B22" s="25" t="s">
        <v>14</v>
      </c>
      <c r="C22" s="124"/>
      <c r="D22" s="125">
        <v>1597</v>
      </c>
      <c r="E22" s="20">
        <f t="shared" si="6"/>
        <v>1597</v>
      </c>
      <c r="F22" s="124"/>
      <c r="G22" s="125">
        <v>1500</v>
      </c>
      <c r="H22" s="20">
        <f t="shared" si="1"/>
        <v>1500</v>
      </c>
      <c r="I22" s="77"/>
      <c r="J22" s="70">
        <v>4726</v>
      </c>
      <c r="K22" s="107">
        <f t="shared" si="2"/>
        <v>4726</v>
      </c>
      <c r="L22" s="21"/>
      <c r="M22" s="22">
        <f t="shared" si="7"/>
        <v>3.1506666666666665</v>
      </c>
      <c r="N22" s="23">
        <f t="shared" si="5"/>
        <v>3.1506666666666665</v>
      </c>
      <c r="O22" s="49"/>
      <c r="P22" s="49"/>
    </row>
    <row r="23" spans="1:16" ht="21" customHeight="1" x14ac:dyDescent="0.2">
      <c r="A23" s="4">
        <v>7</v>
      </c>
      <c r="B23" s="9" t="s">
        <v>15</v>
      </c>
      <c r="C23" s="10">
        <f>SUM(C4:C18)</f>
        <v>1438719</v>
      </c>
      <c r="D23" s="11">
        <f>SUM(D4:D22)</f>
        <v>161142</v>
      </c>
      <c r="E23" s="12">
        <f t="shared" si="6"/>
        <v>1599861</v>
      </c>
      <c r="F23" s="10">
        <f>SUM(F4:F18)</f>
        <v>1464098</v>
      </c>
      <c r="G23" s="11">
        <f>SUM(G4:G22)</f>
        <v>170000</v>
      </c>
      <c r="H23" s="12">
        <f t="shared" si="1"/>
        <v>1634098</v>
      </c>
      <c r="I23" s="13">
        <f>SUM(I3,I20:I22)</f>
        <v>1460847</v>
      </c>
      <c r="J23" s="11">
        <f>SUM(J3,J20:J22)</f>
        <v>150530</v>
      </c>
      <c r="K23" s="14">
        <f t="shared" si="2"/>
        <v>1611377</v>
      </c>
      <c r="L23" s="15">
        <f>I23/F23</f>
        <v>0.99777952022337302</v>
      </c>
      <c r="M23" s="16">
        <f t="shared" si="7"/>
        <v>0.88547058823529412</v>
      </c>
      <c r="N23" s="17">
        <f t="shared" si="5"/>
        <v>0.98609569315916179</v>
      </c>
      <c r="O23" s="49"/>
      <c r="P23" s="49"/>
    </row>
    <row r="24" spans="1:16" ht="21" customHeight="1" x14ac:dyDescent="0.2">
      <c r="A24" s="4">
        <v>8</v>
      </c>
      <c r="B24" s="25" t="s">
        <v>16</v>
      </c>
      <c r="C24" s="119"/>
      <c r="D24" s="58"/>
      <c r="E24" s="20">
        <v>177115</v>
      </c>
      <c r="F24" s="119"/>
      <c r="G24" s="58"/>
      <c r="H24" s="20">
        <v>160000</v>
      </c>
      <c r="I24" s="77"/>
      <c r="J24" s="70"/>
      <c r="K24" s="108">
        <v>164000</v>
      </c>
      <c r="L24" s="21"/>
      <c r="M24" s="22"/>
      <c r="N24" s="23">
        <f t="shared" si="5"/>
        <v>1.0249999999999999</v>
      </c>
      <c r="O24" s="49"/>
      <c r="P24" s="49"/>
    </row>
    <row r="25" spans="1:16" ht="21" customHeight="1" x14ac:dyDescent="0.2">
      <c r="A25" s="86">
        <v>9</v>
      </c>
      <c r="B25" s="87" t="s">
        <v>100</v>
      </c>
      <c r="C25" s="120"/>
      <c r="D25" s="88"/>
      <c r="E25" s="20">
        <v>95722</v>
      </c>
      <c r="F25" s="120"/>
      <c r="G25" s="88"/>
      <c r="H25" s="20">
        <v>74000</v>
      </c>
      <c r="I25" s="109"/>
      <c r="J25" s="110"/>
      <c r="K25" s="107">
        <v>92549</v>
      </c>
      <c r="L25" s="89"/>
      <c r="M25" s="90"/>
      <c r="N25" s="23">
        <f t="shared" si="5"/>
        <v>1.2506621621621621</v>
      </c>
      <c r="O25" s="49"/>
      <c r="P25" s="49"/>
    </row>
    <row r="26" spans="1:16" ht="21" customHeight="1" thickBot="1" x14ac:dyDescent="0.25">
      <c r="A26" s="28">
        <v>10</v>
      </c>
      <c r="B26" s="29" t="s">
        <v>17</v>
      </c>
      <c r="C26" s="56">
        <f t="shared" ref="C26:E26" si="8">SUM(C23:C25)</f>
        <v>1438719</v>
      </c>
      <c r="D26" s="30">
        <f t="shared" si="8"/>
        <v>161142</v>
      </c>
      <c r="E26" s="59">
        <f t="shared" si="8"/>
        <v>1872698</v>
      </c>
      <c r="F26" s="56">
        <f t="shared" ref="F26:K26" si="9">SUM(F23:F25)</f>
        <v>1464098</v>
      </c>
      <c r="G26" s="30">
        <f t="shared" si="9"/>
        <v>170000</v>
      </c>
      <c r="H26" s="59">
        <f t="shared" si="9"/>
        <v>1868098</v>
      </c>
      <c r="I26" s="56">
        <f t="shared" si="9"/>
        <v>1460847</v>
      </c>
      <c r="J26" s="30">
        <f t="shared" si="9"/>
        <v>150530</v>
      </c>
      <c r="K26" s="59">
        <f t="shared" si="9"/>
        <v>1867926</v>
      </c>
      <c r="L26" s="31">
        <f>I26/F26</f>
        <v>0.99777952022337302</v>
      </c>
      <c r="M26" s="32">
        <f>J26/G26</f>
        <v>0.88547058823529412</v>
      </c>
      <c r="N26" s="33">
        <f>K26/H26</f>
        <v>0.99990792774254889</v>
      </c>
      <c r="O26" s="49"/>
      <c r="P26" s="49"/>
    </row>
    <row r="44" spans="11:11" ht="21" customHeight="1" x14ac:dyDescent="0.2">
      <c r="K44" s="8"/>
    </row>
    <row r="45" spans="11:11" ht="21" customHeight="1" x14ac:dyDescent="0.2">
      <c r="K45" s="8"/>
    </row>
    <row r="46" spans="11:11" ht="21" customHeight="1" x14ac:dyDescent="0.2">
      <c r="K46" s="8"/>
    </row>
    <row r="47" spans="11:11" ht="21" customHeight="1" x14ac:dyDescent="0.2">
      <c r="K47" s="8"/>
    </row>
    <row r="48" spans="11:11" ht="21" customHeight="1" x14ac:dyDescent="0.2">
      <c r="K48" s="8"/>
    </row>
    <row r="49" spans="11:11" ht="21" customHeight="1" x14ac:dyDescent="0.2">
      <c r="K49" s="8"/>
    </row>
    <row r="50" spans="11:11" ht="21" customHeight="1" x14ac:dyDescent="0.2">
      <c r="K50" s="8"/>
    </row>
    <row r="51" spans="11:11" ht="21" customHeight="1" x14ac:dyDescent="0.2">
      <c r="K51" s="8"/>
    </row>
    <row r="52" spans="11:11" ht="21" customHeight="1" x14ac:dyDescent="0.2">
      <c r="K52" s="8"/>
    </row>
    <row r="53" spans="11:11" ht="21" customHeight="1" x14ac:dyDescent="0.2">
      <c r="K53" s="8"/>
    </row>
    <row r="54" spans="11:11" ht="21" customHeight="1" x14ac:dyDescent="0.2">
      <c r="K54" s="8"/>
    </row>
    <row r="55" spans="11:11" ht="21" customHeight="1" x14ac:dyDescent="0.2">
      <c r="K55" s="8"/>
    </row>
    <row r="56" spans="11:11" ht="21" customHeight="1" x14ac:dyDescent="0.2">
      <c r="K56" s="8"/>
    </row>
    <row r="57" spans="11:11" ht="21" customHeight="1" x14ac:dyDescent="0.2">
      <c r="K57" s="8"/>
    </row>
    <row r="58" spans="11:11" ht="21" customHeight="1" x14ac:dyDescent="0.2">
      <c r="K58" s="8"/>
    </row>
    <row r="59" spans="11:11" ht="21" customHeight="1" x14ac:dyDescent="0.2">
      <c r="K59" s="8"/>
    </row>
    <row r="60" spans="11:11" ht="21" customHeight="1" x14ac:dyDescent="0.2">
      <c r="K60" s="8"/>
    </row>
    <row r="61" spans="11:11" ht="21" customHeight="1" x14ac:dyDescent="0.2">
      <c r="K61" s="8"/>
    </row>
    <row r="62" spans="11:11" ht="21" customHeight="1" x14ac:dyDescent="0.2">
      <c r="K62" s="8"/>
    </row>
    <row r="63" spans="11:11" ht="21" customHeight="1" x14ac:dyDescent="0.2">
      <c r="K63" s="8"/>
    </row>
    <row r="64" spans="11:11" ht="21" customHeight="1" x14ac:dyDescent="0.2">
      <c r="K64" s="8"/>
    </row>
    <row r="65" spans="11:11" ht="21" customHeight="1" x14ac:dyDescent="0.2">
      <c r="K65" s="8"/>
    </row>
    <row r="66" spans="11:11" ht="21" customHeight="1" x14ac:dyDescent="0.2">
      <c r="K66" s="8"/>
    </row>
    <row r="67" spans="11:11" ht="21" customHeight="1" x14ac:dyDescent="0.2">
      <c r="K67" s="8"/>
    </row>
  </sheetData>
  <mergeCells count="5">
    <mergeCell ref="A1:B2"/>
    <mergeCell ref="F1:H1"/>
    <mergeCell ref="I1:K1"/>
    <mergeCell ref="L1:N1"/>
    <mergeCell ref="C1:E1"/>
  </mergeCells>
  <phoneticPr fontId="0" type="noConversion"/>
  <conditionalFormatting sqref="A1:XFD1048576">
    <cfRule type="cellIs" dxfId="8" priority="13" stopIfTrue="1" operator="equal">
      <formula>0</formula>
    </cfRule>
  </conditionalFormatting>
  <printOptions horizontalCentered="1" verticalCentered="1"/>
  <pageMargins left="0" right="0" top="0.78740157480314965" bottom="0.59055118110236227" header="0.31496062992125984" footer="0.31496062992125984"/>
  <pageSetup paperSize="9" scale="81" orientation="landscape" r:id="rId1"/>
  <headerFooter alignWithMargins="0">
    <oddHeader>&amp;CXIII. Kerületi Egészségügyi Szolgálat Nonprofit Kft.
2015. évi bevétele&amp;R5. sz. melléklet</oddHeader>
    <oddFooter>&amp;L&amp;D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"/>
  <sheetViews>
    <sheetView topLeftCell="A7" workbookViewId="0">
      <selection activeCell="U23" sqref="U23"/>
    </sheetView>
  </sheetViews>
  <sheetFormatPr defaultRowHeight="21" customHeight="1" x14ac:dyDescent="0.2"/>
  <cols>
    <col min="1" max="1" width="22.28515625" style="172" customWidth="1"/>
    <col min="2" max="25" width="6.7109375" style="229" customWidth="1"/>
    <col min="26" max="256" width="9.140625" style="172"/>
    <col min="257" max="257" width="22.28515625" style="172" customWidth="1"/>
    <col min="258" max="281" width="6.7109375" style="172" customWidth="1"/>
    <col min="282" max="512" width="9.140625" style="172"/>
    <col min="513" max="513" width="22.28515625" style="172" customWidth="1"/>
    <col min="514" max="537" width="6.7109375" style="172" customWidth="1"/>
    <col min="538" max="768" width="9.140625" style="172"/>
    <col min="769" max="769" width="22.28515625" style="172" customWidth="1"/>
    <col min="770" max="793" width="6.7109375" style="172" customWidth="1"/>
    <col min="794" max="1024" width="9.140625" style="172"/>
    <col min="1025" max="1025" width="22.28515625" style="172" customWidth="1"/>
    <col min="1026" max="1049" width="6.7109375" style="172" customWidth="1"/>
    <col min="1050" max="1280" width="9.140625" style="172"/>
    <col min="1281" max="1281" width="22.28515625" style="172" customWidth="1"/>
    <col min="1282" max="1305" width="6.7109375" style="172" customWidth="1"/>
    <col min="1306" max="1536" width="9.140625" style="172"/>
    <col min="1537" max="1537" width="22.28515625" style="172" customWidth="1"/>
    <col min="1538" max="1561" width="6.7109375" style="172" customWidth="1"/>
    <col min="1562" max="1792" width="9.140625" style="172"/>
    <col min="1793" max="1793" width="22.28515625" style="172" customWidth="1"/>
    <col min="1794" max="1817" width="6.7109375" style="172" customWidth="1"/>
    <col min="1818" max="2048" width="9.140625" style="172"/>
    <col min="2049" max="2049" width="22.28515625" style="172" customWidth="1"/>
    <col min="2050" max="2073" width="6.7109375" style="172" customWidth="1"/>
    <col min="2074" max="2304" width="9.140625" style="172"/>
    <col min="2305" max="2305" width="22.28515625" style="172" customWidth="1"/>
    <col min="2306" max="2329" width="6.7109375" style="172" customWidth="1"/>
    <col min="2330" max="2560" width="9.140625" style="172"/>
    <col min="2561" max="2561" width="22.28515625" style="172" customWidth="1"/>
    <col min="2562" max="2585" width="6.7109375" style="172" customWidth="1"/>
    <col min="2586" max="2816" width="9.140625" style="172"/>
    <col min="2817" max="2817" width="22.28515625" style="172" customWidth="1"/>
    <col min="2818" max="2841" width="6.7109375" style="172" customWidth="1"/>
    <col min="2842" max="3072" width="9.140625" style="172"/>
    <col min="3073" max="3073" width="22.28515625" style="172" customWidth="1"/>
    <col min="3074" max="3097" width="6.7109375" style="172" customWidth="1"/>
    <col min="3098" max="3328" width="9.140625" style="172"/>
    <col min="3329" max="3329" width="22.28515625" style="172" customWidth="1"/>
    <col min="3330" max="3353" width="6.7109375" style="172" customWidth="1"/>
    <col min="3354" max="3584" width="9.140625" style="172"/>
    <col min="3585" max="3585" width="22.28515625" style="172" customWidth="1"/>
    <col min="3586" max="3609" width="6.7109375" style="172" customWidth="1"/>
    <col min="3610" max="3840" width="9.140625" style="172"/>
    <col min="3841" max="3841" width="22.28515625" style="172" customWidth="1"/>
    <col min="3842" max="3865" width="6.7109375" style="172" customWidth="1"/>
    <col min="3866" max="4096" width="9.140625" style="172"/>
    <col min="4097" max="4097" width="22.28515625" style="172" customWidth="1"/>
    <col min="4098" max="4121" width="6.7109375" style="172" customWidth="1"/>
    <col min="4122" max="4352" width="9.140625" style="172"/>
    <col min="4353" max="4353" width="22.28515625" style="172" customWidth="1"/>
    <col min="4354" max="4377" width="6.7109375" style="172" customWidth="1"/>
    <col min="4378" max="4608" width="9.140625" style="172"/>
    <col min="4609" max="4609" width="22.28515625" style="172" customWidth="1"/>
    <col min="4610" max="4633" width="6.7109375" style="172" customWidth="1"/>
    <col min="4634" max="4864" width="9.140625" style="172"/>
    <col min="4865" max="4865" width="22.28515625" style="172" customWidth="1"/>
    <col min="4866" max="4889" width="6.7109375" style="172" customWidth="1"/>
    <col min="4890" max="5120" width="9.140625" style="172"/>
    <col min="5121" max="5121" width="22.28515625" style="172" customWidth="1"/>
    <col min="5122" max="5145" width="6.7109375" style="172" customWidth="1"/>
    <col min="5146" max="5376" width="9.140625" style="172"/>
    <col min="5377" max="5377" width="22.28515625" style="172" customWidth="1"/>
    <col min="5378" max="5401" width="6.7109375" style="172" customWidth="1"/>
    <col min="5402" max="5632" width="9.140625" style="172"/>
    <col min="5633" max="5633" width="22.28515625" style="172" customWidth="1"/>
    <col min="5634" max="5657" width="6.7109375" style="172" customWidth="1"/>
    <col min="5658" max="5888" width="9.140625" style="172"/>
    <col min="5889" max="5889" width="22.28515625" style="172" customWidth="1"/>
    <col min="5890" max="5913" width="6.7109375" style="172" customWidth="1"/>
    <col min="5914" max="6144" width="9.140625" style="172"/>
    <col min="6145" max="6145" width="22.28515625" style="172" customWidth="1"/>
    <col min="6146" max="6169" width="6.7109375" style="172" customWidth="1"/>
    <col min="6170" max="6400" width="9.140625" style="172"/>
    <col min="6401" max="6401" width="22.28515625" style="172" customWidth="1"/>
    <col min="6402" max="6425" width="6.7109375" style="172" customWidth="1"/>
    <col min="6426" max="6656" width="9.140625" style="172"/>
    <col min="6657" max="6657" width="22.28515625" style="172" customWidth="1"/>
    <col min="6658" max="6681" width="6.7109375" style="172" customWidth="1"/>
    <col min="6682" max="6912" width="9.140625" style="172"/>
    <col min="6913" max="6913" width="22.28515625" style="172" customWidth="1"/>
    <col min="6914" max="6937" width="6.7109375" style="172" customWidth="1"/>
    <col min="6938" max="7168" width="9.140625" style="172"/>
    <col min="7169" max="7169" width="22.28515625" style="172" customWidth="1"/>
    <col min="7170" max="7193" width="6.7109375" style="172" customWidth="1"/>
    <col min="7194" max="7424" width="9.140625" style="172"/>
    <col min="7425" max="7425" width="22.28515625" style="172" customWidth="1"/>
    <col min="7426" max="7449" width="6.7109375" style="172" customWidth="1"/>
    <col min="7450" max="7680" width="9.140625" style="172"/>
    <col min="7681" max="7681" width="22.28515625" style="172" customWidth="1"/>
    <col min="7682" max="7705" width="6.7109375" style="172" customWidth="1"/>
    <col min="7706" max="7936" width="9.140625" style="172"/>
    <col min="7937" max="7937" width="22.28515625" style="172" customWidth="1"/>
    <col min="7938" max="7961" width="6.7109375" style="172" customWidth="1"/>
    <col min="7962" max="8192" width="9.140625" style="172"/>
    <col min="8193" max="8193" width="22.28515625" style="172" customWidth="1"/>
    <col min="8194" max="8217" width="6.7109375" style="172" customWidth="1"/>
    <col min="8218" max="8448" width="9.140625" style="172"/>
    <col min="8449" max="8449" width="22.28515625" style="172" customWidth="1"/>
    <col min="8450" max="8473" width="6.7109375" style="172" customWidth="1"/>
    <col min="8474" max="8704" width="9.140625" style="172"/>
    <col min="8705" max="8705" width="22.28515625" style="172" customWidth="1"/>
    <col min="8706" max="8729" width="6.7109375" style="172" customWidth="1"/>
    <col min="8730" max="8960" width="9.140625" style="172"/>
    <col min="8961" max="8961" width="22.28515625" style="172" customWidth="1"/>
    <col min="8962" max="8985" width="6.7109375" style="172" customWidth="1"/>
    <col min="8986" max="9216" width="9.140625" style="172"/>
    <col min="9217" max="9217" width="22.28515625" style="172" customWidth="1"/>
    <col min="9218" max="9241" width="6.7109375" style="172" customWidth="1"/>
    <col min="9242" max="9472" width="9.140625" style="172"/>
    <col min="9473" max="9473" width="22.28515625" style="172" customWidth="1"/>
    <col min="9474" max="9497" width="6.7109375" style="172" customWidth="1"/>
    <col min="9498" max="9728" width="9.140625" style="172"/>
    <col min="9729" max="9729" width="22.28515625" style="172" customWidth="1"/>
    <col min="9730" max="9753" width="6.7109375" style="172" customWidth="1"/>
    <col min="9754" max="9984" width="9.140625" style="172"/>
    <col min="9985" max="9985" width="22.28515625" style="172" customWidth="1"/>
    <col min="9986" max="10009" width="6.7109375" style="172" customWidth="1"/>
    <col min="10010" max="10240" width="9.140625" style="172"/>
    <col min="10241" max="10241" width="22.28515625" style="172" customWidth="1"/>
    <col min="10242" max="10265" width="6.7109375" style="172" customWidth="1"/>
    <col min="10266" max="10496" width="9.140625" style="172"/>
    <col min="10497" max="10497" width="22.28515625" style="172" customWidth="1"/>
    <col min="10498" max="10521" width="6.7109375" style="172" customWidth="1"/>
    <col min="10522" max="10752" width="9.140625" style="172"/>
    <col min="10753" max="10753" width="22.28515625" style="172" customWidth="1"/>
    <col min="10754" max="10777" width="6.7109375" style="172" customWidth="1"/>
    <col min="10778" max="11008" width="9.140625" style="172"/>
    <col min="11009" max="11009" width="22.28515625" style="172" customWidth="1"/>
    <col min="11010" max="11033" width="6.7109375" style="172" customWidth="1"/>
    <col min="11034" max="11264" width="9.140625" style="172"/>
    <col min="11265" max="11265" width="22.28515625" style="172" customWidth="1"/>
    <col min="11266" max="11289" width="6.7109375" style="172" customWidth="1"/>
    <col min="11290" max="11520" width="9.140625" style="172"/>
    <col min="11521" max="11521" width="22.28515625" style="172" customWidth="1"/>
    <col min="11522" max="11545" width="6.7109375" style="172" customWidth="1"/>
    <col min="11546" max="11776" width="9.140625" style="172"/>
    <col min="11777" max="11777" width="22.28515625" style="172" customWidth="1"/>
    <col min="11778" max="11801" width="6.7109375" style="172" customWidth="1"/>
    <col min="11802" max="12032" width="9.140625" style="172"/>
    <col min="12033" max="12033" width="22.28515625" style="172" customWidth="1"/>
    <col min="12034" max="12057" width="6.7109375" style="172" customWidth="1"/>
    <col min="12058" max="12288" width="9.140625" style="172"/>
    <col min="12289" max="12289" width="22.28515625" style="172" customWidth="1"/>
    <col min="12290" max="12313" width="6.7109375" style="172" customWidth="1"/>
    <col min="12314" max="12544" width="9.140625" style="172"/>
    <col min="12545" max="12545" width="22.28515625" style="172" customWidth="1"/>
    <col min="12546" max="12569" width="6.7109375" style="172" customWidth="1"/>
    <col min="12570" max="12800" width="9.140625" style="172"/>
    <col min="12801" max="12801" width="22.28515625" style="172" customWidth="1"/>
    <col min="12802" max="12825" width="6.7109375" style="172" customWidth="1"/>
    <col min="12826" max="13056" width="9.140625" style="172"/>
    <col min="13057" max="13057" width="22.28515625" style="172" customWidth="1"/>
    <col min="13058" max="13081" width="6.7109375" style="172" customWidth="1"/>
    <col min="13082" max="13312" width="9.140625" style="172"/>
    <col min="13313" max="13313" width="22.28515625" style="172" customWidth="1"/>
    <col min="13314" max="13337" width="6.7109375" style="172" customWidth="1"/>
    <col min="13338" max="13568" width="9.140625" style="172"/>
    <col min="13569" max="13569" width="22.28515625" style="172" customWidth="1"/>
    <col min="13570" max="13593" width="6.7109375" style="172" customWidth="1"/>
    <col min="13594" max="13824" width="9.140625" style="172"/>
    <col min="13825" max="13825" width="22.28515625" style="172" customWidth="1"/>
    <col min="13826" max="13849" width="6.7109375" style="172" customWidth="1"/>
    <col min="13850" max="14080" width="9.140625" style="172"/>
    <col min="14081" max="14081" width="22.28515625" style="172" customWidth="1"/>
    <col min="14082" max="14105" width="6.7109375" style="172" customWidth="1"/>
    <col min="14106" max="14336" width="9.140625" style="172"/>
    <col min="14337" max="14337" width="22.28515625" style="172" customWidth="1"/>
    <col min="14338" max="14361" width="6.7109375" style="172" customWidth="1"/>
    <col min="14362" max="14592" width="9.140625" style="172"/>
    <col min="14593" max="14593" width="22.28515625" style="172" customWidth="1"/>
    <col min="14594" max="14617" width="6.7109375" style="172" customWidth="1"/>
    <col min="14618" max="14848" width="9.140625" style="172"/>
    <col min="14849" max="14849" width="22.28515625" style="172" customWidth="1"/>
    <col min="14850" max="14873" width="6.7109375" style="172" customWidth="1"/>
    <col min="14874" max="15104" width="9.140625" style="172"/>
    <col min="15105" max="15105" width="22.28515625" style="172" customWidth="1"/>
    <col min="15106" max="15129" width="6.7109375" style="172" customWidth="1"/>
    <col min="15130" max="15360" width="9.140625" style="172"/>
    <col min="15361" max="15361" width="22.28515625" style="172" customWidth="1"/>
    <col min="15362" max="15385" width="6.7109375" style="172" customWidth="1"/>
    <col min="15386" max="15616" width="9.140625" style="172"/>
    <col min="15617" max="15617" width="22.28515625" style="172" customWidth="1"/>
    <col min="15618" max="15641" width="6.7109375" style="172" customWidth="1"/>
    <col min="15642" max="15872" width="9.140625" style="172"/>
    <col min="15873" max="15873" width="22.28515625" style="172" customWidth="1"/>
    <col min="15874" max="15897" width="6.7109375" style="172" customWidth="1"/>
    <col min="15898" max="16128" width="9.140625" style="172"/>
    <col min="16129" max="16129" width="22.28515625" style="172" customWidth="1"/>
    <col min="16130" max="16153" width="6.7109375" style="172" customWidth="1"/>
    <col min="16154" max="16384" width="9.140625" style="172"/>
  </cols>
  <sheetData>
    <row r="1" spans="1:43" ht="19.5" customHeight="1" x14ac:dyDescent="0.2">
      <c r="A1" s="492" t="s">
        <v>213</v>
      </c>
      <c r="B1" s="505" t="s">
        <v>214</v>
      </c>
      <c r="C1" s="497"/>
      <c r="D1" s="497"/>
      <c r="E1" s="497"/>
      <c r="F1" s="497"/>
      <c r="G1" s="497"/>
      <c r="H1" s="497"/>
      <c r="I1" s="498"/>
      <c r="J1" s="494" t="s">
        <v>215</v>
      </c>
      <c r="K1" s="495"/>
      <c r="L1" s="495"/>
      <c r="M1" s="495"/>
      <c r="N1" s="495"/>
      <c r="O1" s="495"/>
      <c r="P1" s="495"/>
      <c r="Q1" s="496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  <c r="AK1" s="229"/>
      <c r="AL1" s="229"/>
      <c r="AN1" s="229"/>
      <c r="AO1" s="229"/>
      <c r="AP1" s="229"/>
      <c r="AQ1" s="229"/>
    </row>
    <row r="2" spans="1:43" ht="24" customHeight="1" x14ac:dyDescent="0.2">
      <c r="A2" s="509"/>
      <c r="B2" s="511" t="s">
        <v>216</v>
      </c>
      <c r="C2" s="512"/>
      <c r="D2" s="513" t="s">
        <v>217</v>
      </c>
      <c r="E2" s="512"/>
      <c r="F2" s="513" t="s">
        <v>218</v>
      </c>
      <c r="G2" s="512"/>
      <c r="H2" s="513" t="s">
        <v>219</v>
      </c>
      <c r="I2" s="514"/>
      <c r="J2" s="515" t="s">
        <v>216</v>
      </c>
      <c r="K2" s="500"/>
      <c r="L2" s="500" t="s">
        <v>217</v>
      </c>
      <c r="M2" s="500"/>
      <c r="N2" s="500" t="s">
        <v>218</v>
      </c>
      <c r="O2" s="500"/>
      <c r="P2" s="500" t="s">
        <v>219</v>
      </c>
      <c r="Q2" s="516"/>
      <c r="T2" s="236"/>
      <c r="X2" s="172"/>
      <c r="Y2" s="172"/>
      <c r="AI2" s="229"/>
    </row>
    <row r="3" spans="1:43" s="229" customFormat="1" ht="24" customHeight="1" x14ac:dyDescent="0.2">
      <c r="A3" s="510"/>
      <c r="B3" s="237" t="s">
        <v>231</v>
      </c>
      <c r="C3" s="238" t="s">
        <v>232</v>
      </c>
      <c r="D3" s="239" t="str">
        <f t="shared" ref="D3:Q3" si="0">B3</f>
        <v>2015 terv</v>
      </c>
      <c r="E3" s="238" t="str">
        <f t="shared" si="0"/>
        <v>2015          tény</v>
      </c>
      <c r="F3" s="239" t="str">
        <f t="shared" si="0"/>
        <v>2015 terv</v>
      </c>
      <c r="G3" s="238" t="str">
        <f t="shared" si="0"/>
        <v>2015          tény</v>
      </c>
      <c r="H3" s="239" t="str">
        <f t="shared" si="0"/>
        <v>2015 terv</v>
      </c>
      <c r="I3" s="240" t="str">
        <f t="shared" si="0"/>
        <v>2015          tény</v>
      </c>
      <c r="J3" s="241" t="str">
        <f t="shared" si="0"/>
        <v>2015 terv</v>
      </c>
      <c r="K3" s="238" t="str">
        <f t="shared" si="0"/>
        <v>2015          tény</v>
      </c>
      <c r="L3" s="239" t="str">
        <f t="shared" si="0"/>
        <v>2015 terv</v>
      </c>
      <c r="M3" s="238" t="str">
        <f t="shared" si="0"/>
        <v>2015          tény</v>
      </c>
      <c r="N3" s="239" t="str">
        <f t="shared" si="0"/>
        <v>2015 terv</v>
      </c>
      <c r="O3" s="238" t="str">
        <f t="shared" si="0"/>
        <v>2015          tény</v>
      </c>
      <c r="P3" s="239" t="str">
        <f t="shared" si="0"/>
        <v>2015 terv</v>
      </c>
      <c r="Q3" s="242" t="str">
        <f t="shared" si="0"/>
        <v>2015          tény</v>
      </c>
      <c r="T3" s="236"/>
      <c r="X3" s="172"/>
      <c r="Y3" s="172"/>
    </row>
    <row r="4" spans="1:43" ht="19.5" customHeight="1" x14ac:dyDescent="0.2">
      <c r="A4" s="182" t="s">
        <v>220</v>
      </c>
      <c r="B4" s="243"/>
      <c r="C4" s="244"/>
      <c r="D4" s="245">
        <v>8</v>
      </c>
      <c r="E4" s="244">
        <v>8</v>
      </c>
      <c r="F4" s="245"/>
      <c r="G4" s="244"/>
      <c r="H4" s="245">
        <v>9</v>
      </c>
      <c r="I4" s="246">
        <v>9</v>
      </c>
      <c r="J4" s="247"/>
      <c r="K4" s="244"/>
      <c r="L4" s="245"/>
      <c r="M4" s="244"/>
      <c r="N4" s="245"/>
      <c r="O4" s="244"/>
      <c r="P4" s="248">
        <v>1.5</v>
      </c>
      <c r="Q4" s="282">
        <v>1.25</v>
      </c>
      <c r="T4" s="236"/>
    </row>
    <row r="5" spans="1:43" ht="19.5" customHeight="1" x14ac:dyDescent="0.2">
      <c r="A5" s="182" t="s">
        <v>221</v>
      </c>
      <c r="B5" s="243"/>
      <c r="C5" s="244"/>
      <c r="D5" s="245">
        <v>1</v>
      </c>
      <c r="E5" s="275">
        <v>1.77</v>
      </c>
      <c r="F5" s="245">
        <v>1</v>
      </c>
      <c r="G5" s="244">
        <v>1</v>
      </c>
      <c r="H5" s="245"/>
      <c r="I5" s="246"/>
      <c r="J5" s="247"/>
      <c r="K5" s="244"/>
      <c r="L5" s="245"/>
      <c r="M5" s="244"/>
      <c r="N5" s="245"/>
      <c r="O5" s="244"/>
      <c r="P5" s="248"/>
      <c r="Q5" s="282"/>
      <c r="T5" s="250"/>
      <c r="U5" s="251"/>
      <c r="V5" s="251"/>
      <c r="W5" s="251"/>
      <c r="X5" s="172"/>
      <c r="Y5" s="172"/>
    </row>
    <row r="6" spans="1:43" ht="19.5" customHeight="1" x14ac:dyDescent="0.2">
      <c r="A6" s="182" t="s">
        <v>222</v>
      </c>
      <c r="B6" s="243">
        <v>40</v>
      </c>
      <c r="C6" s="275">
        <v>40.54</v>
      </c>
      <c r="D6" s="245">
        <v>11</v>
      </c>
      <c r="E6" s="244">
        <v>11.33</v>
      </c>
      <c r="F6" s="245">
        <v>101</v>
      </c>
      <c r="G6" s="275">
        <v>100.15</v>
      </c>
      <c r="H6" s="245">
        <v>20</v>
      </c>
      <c r="I6" s="276">
        <v>20</v>
      </c>
      <c r="J6" s="247">
        <v>12.1</v>
      </c>
      <c r="K6" s="275">
        <v>17.489999999999998</v>
      </c>
      <c r="L6" s="245">
        <v>0.7</v>
      </c>
      <c r="M6" s="244">
        <v>1</v>
      </c>
      <c r="N6" s="245">
        <v>9.1999999999999993</v>
      </c>
      <c r="O6" s="275">
        <v>14.82</v>
      </c>
      <c r="P6" s="248">
        <v>2.4</v>
      </c>
      <c r="Q6" s="249">
        <v>3</v>
      </c>
      <c r="T6" s="250"/>
      <c r="U6" s="251"/>
      <c r="V6" s="251"/>
      <c r="W6" s="251"/>
      <c r="X6" s="172"/>
      <c r="Y6" s="172"/>
    </row>
    <row r="7" spans="1:43" ht="19.5" customHeight="1" x14ac:dyDescent="0.2">
      <c r="A7" s="252" t="s">
        <v>223</v>
      </c>
      <c r="B7" s="243">
        <v>2</v>
      </c>
      <c r="C7" s="275">
        <v>2</v>
      </c>
      <c r="D7" s="245">
        <v>1</v>
      </c>
      <c r="E7" s="244">
        <v>1</v>
      </c>
      <c r="F7" s="245">
        <v>6</v>
      </c>
      <c r="G7" s="244">
        <v>6</v>
      </c>
      <c r="H7" s="245">
        <v>2</v>
      </c>
      <c r="I7" s="276">
        <v>1.92</v>
      </c>
      <c r="J7" s="247">
        <v>0.1</v>
      </c>
      <c r="K7" s="244">
        <v>0.5</v>
      </c>
      <c r="L7" s="245"/>
      <c r="M7" s="244"/>
      <c r="N7" s="245"/>
      <c r="O7" s="244"/>
      <c r="P7" s="248"/>
      <c r="Q7" s="249"/>
      <c r="T7" s="250"/>
      <c r="U7" s="253"/>
      <c r="V7" s="253"/>
      <c r="W7" s="253"/>
      <c r="X7" s="172"/>
      <c r="Y7" s="172"/>
    </row>
    <row r="8" spans="1:43" ht="19.5" customHeight="1" x14ac:dyDescent="0.2">
      <c r="A8" s="252" t="s">
        <v>159</v>
      </c>
      <c r="B8" s="243">
        <v>1</v>
      </c>
      <c r="C8" s="244">
        <v>1</v>
      </c>
      <c r="D8" s="245"/>
      <c r="E8" s="244"/>
      <c r="F8" s="245">
        <v>2</v>
      </c>
      <c r="G8" s="244">
        <v>2</v>
      </c>
      <c r="H8" s="245"/>
      <c r="I8" s="246"/>
      <c r="J8" s="247"/>
      <c r="K8" s="244"/>
      <c r="L8" s="245"/>
      <c r="M8" s="244"/>
      <c r="N8" s="245"/>
      <c r="O8" s="244"/>
      <c r="P8" s="248"/>
      <c r="Q8" s="249"/>
      <c r="T8" s="250"/>
      <c r="X8" s="172"/>
      <c r="Y8" s="172"/>
    </row>
    <row r="9" spans="1:43" ht="19.5" customHeight="1" x14ac:dyDescent="0.2">
      <c r="A9" s="182" t="s">
        <v>224</v>
      </c>
      <c r="B9" s="243"/>
      <c r="C9" s="244"/>
      <c r="D9" s="245">
        <v>46</v>
      </c>
      <c r="E9" s="275">
        <v>44.58</v>
      </c>
      <c r="F9" s="245"/>
      <c r="G9" s="244"/>
      <c r="H9" s="245"/>
      <c r="I9" s="246"/>
      <c r="J9" s="247"/>
      <c r="K9" s="244"/>
      <c r="L9" s="245"/>
      <c r="M9" s="244"/>
      <c r="N9" s="245"/>
      <c r="O9" s="244"/>
      <c r="P9" s="248"/>
      <c r="Q9" s="249"/>
      <c r="T9" s="250"/>
      <c r="X9" s="172"/>
      <c r="Y9" s="172"/>
    </row>
    <row r="10" spans="1:43" ht="19.5" customHeight="1" x14ac:dyDescent="0.2">
      <c r="A10" s="182" t="s">
        <v>225</v>
      </c>
      <c r="B10" s="243">
        <v>5</v>
      </c>
      <c r="C10" s="244">
        <v>4</v>
      </c>
      <c r="D10" s="245"/>
      <c r="E10" s="244"/>
      <c r="F10" s="245"/>
      <c r="G10" s="244"/>
      <c r="H10" s="245"/>
      <c r="I10" s="246"/>
      <c r="J10" s="247"/>
      <c r="K10" s="244"/>
      <c r="L10" s="245"/>
      <c r="M10" s="244"/>
      <c r="N10" s="245"/>
      <c r="O10" s="244"/>
      <c r="P10" s="248"/>
      <c r="Q10" s="249"/>
      <c r="T10" s="250"/>
      <c r="X10" s="172"/>
      <c r="Y10" s="172"/>
    </row>
    <row r="11" spans="1:43" ht="19.5" customHeight="1" thickBot="1" x14ac:dyDescent="0.25">
      <c r="A11" s="254" t="s">
        <v>3</v>
      </c>
      <c r="B11" s="255">
        <f t="shared" ref="B11:Q11" si="1">SUM(B4:B10)</f>
        <v>48</v>
      </c>
      <c r="C11" s="277">
        <f t="shared" si="1"/>
        <v>47.54</v>
      </c>
      <c r="D11" s="257">
        <f t="shared" si="1"/>
        <v>67</v>
      </c>
      <c r="E11" s="278">
        <f t="shared" si="1"/>
        <v>66.680000000000007</v>
      </c>
      <c r="F11" s="257">
        <f t="shared" si="1"/>
        <v>110</v>
      </c>
      <c r="G11" s="277">
        <f t="shared" si="1"/>
        <v>109.15</v>
      </c>
      <c r="H11" s="257">
        <f t="shared" si="1"/>
        <v>31</v>
      </c>
      <c r="I11" s="278">
        <f t="shared" si="1"/>
        <v>30.92</v>
      </c>
      <c r="J11" s="255">
        <f t="shared" si="1"/>
        <v>12.2</v>
      </c>
      <c r="K11" s="277">
        <f t="shared" si="1"/>
        <v>17.989999999999998</v>
      </c>
      <c r="L11" s="257">
        <f t="shared" si="1"/>
        <v>0.7</v>
      </c>
      <c r="M11" s="278">
        <f t="shared" si="1"/>
        <v>1</v>
      </c>
      <c r="N11" s="257">
        <f t="shared" si="1"/>
        <v>9.1999999999999993</v>
      </c>
      <c r="O11" s="277">
        <f t="shared" si="1"/>
        <v>14.82</v>
      </c>
      <c r="P11" s="257">
        <f t="shared" si="1"/>
        <v>3.9</v>
      </c>
      <c r="Q11" s="279">
        <f t="shared" si="1"/>
        <v>4.25</v>
      </c>
      <c r="T11" s="250"/>
      <c r="X11" s="172"/>
      <c r="Y11" s="172"/>
    </row>
    <row r="12" spans="1:43" ht="13.5" customHeight="1" thickBot="1" x14ac:dyDescent="0.25">
      <c r="T12" s="250"/>
      <c r="X12" s="172"/>
      <c r="Y12" s="172"/>
    </row>
    <row r="13" spans="1:43" ht="24" customHeight="1" x14ac:dyDescent="0.2">
      <c r="A13" s="517" t="s">
        <v>213</v>
      </c>
      <c r="B13" s="505" t="s">
        <v>226</v>
      </c>
      <c r="C13" s="497"/>
      <c r="D13" s="497"/>
      <c r="E13" s="497"/>
      <c r="F13" s="497"/>
      <c r="G13" s="497"/>
      <c r="H13" s="497"/>
      <c r="I13" s="498"/>
      <c r="J13" s="494" t="s">
        <v>3</v>
      </c>
      <c r="K13" s="495"/>
      <c r="L13" s="495"/>
      <c r="M13" s="495"/>
      <c r="N13" s="495"/>
      <c r="O13" s="495"/>
      <c r="P13" s="495"/>
      <c r="Q13" s="496"/>
      <c r="R13" s="520" t="s">
        <v>3</v>
      </c>
      <c r="S13" s="521"/>
      <c r="T13" s="524" t="s">
        <v>227</v>
      </c>
      <c r="U13" s="525"/>
    </row>
    <row r="14" spans="1:43" ht="24" customHeight="1" x14ac:dyDescent="0.2">
      <c r="A14" s="518"/>
      <c r="B14" s="511" t="s">
        <v>216</v>
      </c>
      <c r="C14" s="512"/>
      <c r="D14" s="513" t="s">
        <v>217</v>
      </c>
      <c r="E14" s="512"/>
      <c r="F14" s="513" t="s">
        <v>218</v>
      </c>
      <c r="G14" s="512"/>
      <c r="H14" s="500" t="s">
        <v>219</v>
      </c>
      <c r="I14" s="516"/>
      <c r="J14" s="515" t="s">
        <v>216</v>
      </c>
      <c r="K14" s="500"/>
      <c r="L14" s="500" t="s">
        <v>217</v>
      </c>
      <c r="M14" s="500"/>
      <c r="N14" s="500" t="s">
        <v>218</v>
      </c>
      <c r="O14" s="500"/>
      <c r="P14" s="500" t="s">
        <v>219</v>
      </c>
      <c r="Q14" s="516"/>
      <c r="R14" s="522"/>
      <c r="S14" s="523"/>
      <c r="T14" s="526"/>
      <c r="U14" s="527"/>
    </row>
    <row r="15" spans="1:43" s="229" customFormat="1" ht="24" customHeight="1" x14ac:dyDescent="0.2">
      <c r="A15" s="519"/>
      <c r="B15" s="237" t="str">
        <f t="shared" ref="B15:G15" si="2">B3</f>
        <v>2015 terv</v>
      </c>
      <c r="C15" s="240" t="str">
        <f t="shared" si="2"/>
        <v>2015          tény</v>
      </c>
      <c r="D15" s="260" t="str">
        <f t="shared" si="2"/>
        <v>2015 terv</v>
      </c>
      <c r="E15" s="240" t="str">
        <f t="shared" si="2"/>
        <v>2015          tény</v>
      </c>
      <c r="F15" s="260" t="str">
        <f t="shared" si="2"/>
        <v>2015 terv</v>
      </c>
      <c r="G15" s="240" t="str">
        <f t="shared" si="2"/>
        <v>2015          tény</v>
      </c>
      <c r="H15" s="239" t="str">
        <f t="shared" ref="H15:I15" si="3">F15</f>
        <v>2015 terv</v>
      </c>
      <c r="I15" s="242" t="str">
        <f t="shared" si="3"/>
        <v>2015          tény</v>
      </c>
      <c r="J15" s="237" t="str">
        <f t="shared" ref="J15:O15" si="4">L3</f>
        <v>2015 terv</v>
      </c>
      <c r="K15" s="240" t="str">
        <f t="shared" si="4"/>
        <v>2015          tény</v>
      </c>
      <c r="L15" s="260" t="str">
        <f t="shared" si="4"/>
        <v>2015 terv</v>
      </c>
      <c r="M15" s="240" t="str">
        <f t="shared" si="4"/>
        <v>2015          tény</v>
      </c>
      <c r="N15" s="260" t="str">
        <f t="shared" si="4"/>
        <v>2015 terv</v>
      </c>
      <c r="O15" s="240" t="str">
        <f t="shared" si="4"/>
        <v>2015          tény</v>
      </c>
      <c r="P15" s="260" t="str">
        <f t="shared" ref="P15:U15" si="5">N15</f>
        <v>2015 terv</v>
      </c>
      <c r="Q15" s="240" t="str">
        <f t="shared" si="5"/>
        <v>2015          tény</v>
      </c>
      <c r="R15" s="237" t="str">
        <f t="shared" si="5"/>
        <v>2015 terv</v>
      </c>
      <c r="S15" s="240" t="str">
        <f t="shared" si="5"/>
        <v>2015          tény</v>
      </c>
      <c r="T15" s="241" t="str">
        <f t="shared" si="5"/>
        <v>2015 terv</v>
      </c>
      <c r="U15" s="242" t="str">
        <f t="shared" si="5"/>
        <v>2015          tény</v>
      </c>
    </row>
    <row r="16" spans="1:43" s="229" customFormat="1" ht="19.5" customHeight="1" x14ac:dyDescent="0.2">
      <c r="A16" s="182" t="s">
        <v>220</v>
      </c>
      <c r="B16" s="243"/>
      <c r="C16" s="244"/>
      <c r="D16" s="245"/>
      <c r="E16" s="244"/>
      <c r="F16" s="245"/>
      <c r="G16" s="244"/>
      <c r="H16" s="248"/>
      <c r="I16" s="249"/>
      <c r="J16" s="261">
        <f>SUM(B4,J4,B16)</f>
        <v>0</v>
      </c>
      <c r="K16" s="263">
        <f t="shared" ref="K16:Q22" si="6">SUM(C4,K4,C16)</f>
        <v>0</v>
      </c>
      <c r="L16" s="262">
        <f t="shared" si="6"/>
        <v>8</v>
      </c>
      <c r="M16" s="263">
        <f t="shared" si="6"/>
        <v>8</v>
      </c>
      <c r="N16" s="262">
        <f t="shared" si="6"/>
        <v>0</v>
      </c>
      <c r="O16" s="263">
        <f t="shared" si="6"/>
        <v>0</v>
      </c>
      <c r="P16" s="262">
        <f t="shared" si="6"/>
        <v>10.5</v>
      </c>
      <c r="Q16" s="263">
        <f t="shared" si="6"/>
        <v>10.25</v>
      </c>
      <c r="R16" s="264">
        <f t="shared" ref="R16:S22" si="7">IF(SUM(J16,L16,N16,P16)&gt;0,SUM(J16,L16,N16,P16),"")</f>
        <v>18.5</v>
      </c>
      <c r="S16" s="281">
        <f t="shared" si="7"/>
        <v>18.25</v>
      </c>
      <c r="T16" s="266">
        <v>0.5</v>
      </c>
      <c r="U16" s="249">
        <v>0.5</v>
      </c>
      <c r="Z16" s="172"/>
      <c r="AA16" s="172"/>
      <c r="AB16" s="172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</row>
    <row r="17" spans="1:43" s="229" customFormat="1" ht="19.5" customHeight="1" x14ac:dyDescent="0.2">
      <c r="A17" s="182" t="s">
        <v>221</v>
      </c>
      <c r="B17" s="243"/>
      <c r="C17" s="244"/>
      <c r="D17" s="245"/>
      <c r="E17" s="244"/>
      <c r="F17" s="245"/>
      <c r="G17" s="244"/>
      <c r="H17" s="248"/>
      <c r="I17" s="249"/>
      <c r="J17" s="261">
        <f t="shared" ref="J17:J22" si="8">SUM(B5,J5,B17)</f>
        <v>0</v>
      </c>
      <c r="K17" s="263">
        <f t="shared" si="6"/>
        <v>0</v>
      </c>
      <c r="L17" s="262">
        <f t="shared" si="6"/>
        <v>1</v>
      </c>
      <c r="M17" s="263">
        <f t="shared" si="6"/>
        <v>1.77</v>
      </c>
      <c r="N17" s="262">
        <f t="shared" si="6"/>
        <v>1</v>
      </c>
      <c r="O17" s="263">
        <f t="shared" si="6"/>
        <v>1</v>
      </c>
      <c r="P17" s="262">
        <f t="shared" si="6"/>
        <v>0</v>
      </c>
      <c r="Q17" s="263">
        <f t="shared" si="6"/>
        <v>0</v>
      </c>
      <c r="R17" s="264">
        <f t="shared" si="7"/>
        <v>2</v>
      </c>
      <c r="S17" s="281">
        <f t="shared" si="7"/>
        <v>2.77</v>
      </c>
      <c r="T17" s="266"/>
      <c r="U17" s="249"/>
      <c r="Z17" s="172"/>
      <c r="AA17" s="172"/>
      <c r="AB17" s="172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</row>
    <row r="18" spans="1:43" s="229" customFormat="1" ht="19.5" customHeight="1" x14ac:dyDescent="0.2">
      <c r="A18" s="182" t="s">
        <v>222</v>
      </c>
      <c r="B18" s="243">
        <v>3.6</v>
      </c>
      <c r="C18" s="275">
        <v>2.37</v>
      </c>
      <c r="D18" s="245">
        <v>0.2</v>
      </c>
      <c r="E18" s="244">
        <v>0.2</v>
      </c>
      <c r="F18" s="245"/>
      <c r="G18" s="244"/>
      <c r="H18" s="248"/>
      <c r="I18" s="249"/>
      <c r="J18" s="261">
        <f t="shared" si="8"/>
        <v>55.7</v>
      </c>
      <c r="K18" s="280">
        <f t="shared" si="6"/>
        <v>60.4</v>
      </c>
      <c r="L18" s="262">
        <f t="shared" si="6"/>
        <v>11.899999999999999</v>
      </c>
      <c r="M18" s="280">
        <f t="shared" si="6"/>
        <v>12.53</v>
      </c>
      <c r="N18" s="262">
        <f t="shared" si="6"/>
        <v>110.2</v>
      </c>
      <c r="O18" s="280">
        <f t="shared" si="6"/>
        <v>114.97</v>
      </c>
      <c r="P18" s="262">
        <f t="shared" si="6"/>
        <v>22.4</v>
      </c>
      <c r="Q18" s="280">
        <f>SUM(I6,Q6,I18)</f>
        <v>23</v>
      </c>
      <c r="R18" s="264">
        <f>IF(SUM(J18,L18,N18,P18)&gt;0,SUM(J18,L18,N18,P18),"")</f>
        <v>200.20000000000002</v>
      </c>
      <c r="S18" s="281">
        <f>IF(SUM(K18,M18,O18,Q18)&gt;0,SUM(K18,M18,O18,Q18),"")</f>
        <v>210.89999999999998</v>
      </c>
      <c r="T18" s="266">
        <v>1.5</v>
      </c>
      <c r="U18" s="249">
        <v>1.5</v>
      </c>
      <c r="Z18" s="172"/>
      <c r="AA18" s="172"/>
      <c r="AB18" s="172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</row>
    <row r="19" spans="1:43" s="229" customFormat="1" ht="19.5" customHeight="1" x14ac:dyDescent="0.2">
      <c r="A19" s="252" t="s">
        <v>223</v>
      </c>
      <c r="B19" s="243">
        <v>0.2</v>
      </c>
      <c r="C19" s="244">
        <v>0.2</v>
      </c>
      <c r="D19" s="245"/>
      <c r="E19" s="244"/>
      <c r="F19" s="245"/>
      <c r="G19" s="244"/>
      <c r="H19" s="248"/>
      <c r="I19" s="249"/>
      <c r="J19" s="261">
        <f t="shared" si="8"/>
        <v>2.3000000000000003</v>
      </c>
      <c r="K19" s="280">
        <f t="shared" si="6"/>
        <v>2.7</v>
      </c>
      <c r="L19" s="262">
        <f t="shared" si="6"/>
        <v>1</v>
      </c>
      <c r="M19" s="280">
        <f t="shared" si="6"/>
        <v>1</v>
      </c>
      <c r="N19" s="262">
        <f t="shared" si="6"/>
        <v>6</v>
      </c>
      <c r="O19" s="280">
        <f t="shared" si="6"/>
        <v>6</v>
      </c>
      <c r="P19" s="262">
        <f t="shared" si="6"/>
        <v>2</v>
      </c>
      <c r="Q19" s="280">
        <f t="shared" si="6"/>
        <v>1.92</v>
      </c>
      <c r="R19" s="264">
        <f t="shared" si="7"/>
        <v>11.3</v>
      </c>
      <c r="S19" s="281">
        <f t="shared" si="7"/>
        <v>11.62</v>
      </c>
      <c r="T19" s="266"/>
      <c r="U19" s="249"/>
      <c r="Z19" s="172"/>
      <c r="AA19" s="172"/>
      <c r="AB19" s="172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</row>
    <row r="20" spans="1:43" s="229" customFormat="1" ht="19.5" customHeight="1" x14ac:dyDescent="0.2">
      <c r="A20" s="252" t="s">
        <v>159</v>
      </c>
      <c r="B20" s="243">
        <v>1</v>
      </c>
      <c r="C20" s="244">
        <v>1</v>
      </c>
      <c r="D20" s="245"/>
      <c r="E20" s="244"/>
      <c r="F20" s="245"/>
      <c r="G20" s="244"/>
      <c r="H20" s="248"/>
      <c r="I20" s="249"/>
      <c r="J20" s="261">
        <f t="shared" si="8"/>
        <v>2</v>
      </c>
      <c r="K20" s="263">
        <f t="shared" si="6"/>
        <v>2</v>
      </c>
      <c r="L20" s="262">
        <f t="shared" si="6"/>
        <v>0</v>
      </c>
      <c r="M20" s="263">
        <f t="shared" si="6"/>
        <v>0</v>
      </c>
      <c r="N20" s="262">
        <f t="shared" si="6"/>
        <v>2</v>
      </c>
      <c r="O20" s="263">
        <f t="shared" si="6"/>
        <v>2</v>
      </c>
      <c r="P20" s="262">
        <f t="shared" si="6"/>
        <v>0</v>
      </c>
      <c r="Q20" s="263">
        <f t="shared" si="6"/>
        <v>0</v>
      </c>
      <c r="R20" s="264">
        <f t="shared" si="7"/>
        <v>4</v>
      </c>
      <c r="S20" s="281">
        <f t="shared" si="7"/>
        <v>4</v>
      </c>
      <c r="T20" s="266"/>
      <c r="U20" s="249"/>
      <c r="Z20" s="172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</row>
    <row r="21" spans="1:43" s="229" customFormat="1" ht="19.5" customHeight="1" x14ac:dyDescent="0.2">
      <c r="A21" s="182" t="s">
        <v>224</v>
      </c>
      <c r="B21" s="243"/>
      <c r="C21" s="244"/>
      <c r="D21" s="245"/>
      <c r="E21" s="244"/>
      <c r="F21" s="245"/>
      <c r="G21" s="244"/>
      <c r="H21" s="248"/>
      <c r="I21" s="249"/>
      <c r="J21" s="261">
        <f t="shared" si="8"/>
        <v>0</v>
      </c>
      <c r="K21" s="263">
        <f t="shared" si="6"/>
        <v>0</v>
      </c>
      <c r="L21" s="262">
        <f t="shared" si="6"/>
        <v>46</v>
      </c>
      <c r="M21" s="263">
        <f t="shared" si="6"/>
        <v>44.58</v>
      </c>
      <c r="N21" s="262">
        <f t="shared" si="6"/>
        <v>0</v>
      </c>
      <c r="O21" s="263">
        <f t="shared" si="6"/>
        <v>0</v>
      </c>
      <c r="P21" s="262">
        <f t="shared" si="6"/>
        <v>0</v>
      </c>
      <c r="Q21" s="263">
        <f t="shared" si="6"/>
        <v>0</v>
      </c>
      <c r="R21" s="264">
        <f t="shared" si="7"/>
        <v>46</v>
      </c>
      <c r="S21" s="281">
        <f t="shared" si="7"/>
        <v>44.58</v>
      </c>
      <c r="T21" s="266">
        <v>0.4</v>
      </c>
      <c r="U21" s="249">
        <v>0.4</v>
      </c>
      <c r="Z21" s="172"/>
      <c r="AA21" s="172"/>
      <c r="AB21" s="172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</row>
    <row r="22" spans="1:43" s="229" customFormat="1" ht="19.5" customHeight="1" x14ac:dyDescent="0.2">
      <c r="A22" s="182" t="s">
        <v>225</v>
      </c>
      <c r="B22" s="243"/>
      <c r="C22" s="244"/>
      <c r="D22" s="245"/>
      <c r="E22" s="244"/>
      <c r="F22" s="245"/>
      <c r="G22" s="244"/>
      <c r="H22" s="248"/>
      <c r="I22" s="249"/>
      <c r="J22" s="261">
        <f t="shared" si="8"/>
        <v>5</v>
      </c>
      <c r="K22" s="263">
        <f t="shared" si="6"/>
        <v>4</v>
      </c>
      <c r="L22" s="262">
        <f t="shared" si="6"/>
        <v>0</v>
      </c>
      <c r="M22" s="263">
        <f t="shared" si="6"/>
        <v>0</v>
      </c>
      <c r="N22" s="262">
        <f t="shared" si="6"/>
        <v>0</v>
      </c>
      <c r="O22" s="263">
        <f t="shared" si="6"/>
        <v>0</v>
      </c>
      <c r="P22" s="262">
        <f t="shared" si="6"/>
        <v>0</v>
      </c>
      <c r="Q22" s="263">
        <f t="shared" si="6"/>
        <v>0</v>
      </c>
      <c r="R22" s="264">
        <f t="shared" si="7"/>
        <v>5</v>
      </c>
      <c r="S22" s="281">
        <f t="shared" si="7"/>
        <v>4</v>
      </c>
      <c r="T22" s="266"/>
      <c r="U22" s="249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</row>
    <row r="23" spans="1:43" s="229" customFormat="1" ht="19.5" customHeight="1" thickBot="1" x14ac:dyDescent="0.25">
      <c r="A23" s="254" t="s">
        <v>3</v>
      </c>
      <c r="B23" s="255">
        <f t="shared" ref="B23:Q23" si="9">SUM(B16:B22)</f>
        <v>4.8000000000000007</v>
      </c>
      <c r="C23" s="277">
        <f t="shared" si="9"/>
        <v>3.5700000000000003</v>
      </c>
      <c r="D23" s="257">
        <f t="shared" si="9"/>
        <v>0.2</v>
      </c>
      <c r="E23" s="278">
        <f t="shared" si="9"/>
        <v>0.2</v>
      </c>
      <c r="F23" s="257">
        <f t="shared" si="9"/>
        <v>0</v>
      </c>
      <c r="G23" s="277">
        <f t="shared" si="9"/>
        <v>0</v>
      </c>
      <c r="H23" s="257">
        <f t="shared" si="9"/>
        <v>0</v>
      </c>
      <c r="I23" s="279">
        <f t="shared" si="9"/>
        <v>0</v>
      </c>
      <c r="J23" s="255">
        <f t="shared" si="9"/>
        <v>65</v>
      </c>
      <c r="K23" s="277">
        <f t="shared" si="9"/>
        <v>69.099999999999994</v>
      </c>
      <c r="L23" s="257">
        <f t="shared" si="9"/>
        <v>67.900000000000006</v>
      </c>
      <c r="M23" s="278">
        <f t="shared" si="9"/>
        <v>67.88</v>
      </c>
      <c r="N23" s="257">
        <f t="shared" si="9"/>
        <v>119.2</v>
      </c>
      <c r="O23" s="277">
        <f t="shared" si="9"/>
        <v>123.97</v>
      </c>
      <c r="P23" s="257">
        <f t="shared" si="9"/>
        <v>34.9</v>
      </c>
      <c r="Q23" s="278">
        <f t="shared" si="9"/>
        <v>35.17</v>
      </c>
      <c r="R23" s="255">
        <f>SUM(R16:R22)</f>
        <v>287</v>
      </c>
      <c r="S23" s="277">
        <f>SUM(S16:S22)</f>
        <v>296.12</v>
      </c>
      <c r="T23" s="267">
        <f>SUM(T16:T22)</f>
        <v>2.4</v>
      </c>
      <c r="U23" s="268">
        <f>SUM(U16:U22)</f>
        <v>2.4</v>
      </c>
      <c r="Z23" s="172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</row>
    <row r="24" spans="1:43" s="229" customFormat="1" ht="13.5" customHeight="1" x14ac:dyDescent="0.2">
      <c r="A24" s="172"/>
      <c r="Z24" s="172"/>
      <c r="AA24" s="172"/>
      <c r="AB24" s="172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</row>
  </sheetData>
  <mergeCells count="24">
    <mergeCell ref="A13:A15"/>
    <mergeCell ref="B13:I13"/>
    <mergeCell ref="J13:Q13"/>
    <mergeCell ref="R13:S14"/>
    <mergeCell ref="T13:U14"/>
    <mergeCell ref="B14:C14"/>
    <mergeCell ref="D14:E14"/>
    <mergeCell ref="F14:G14"/>
    <mergeCell ref="H14:I14"/>
    <mergeCell ref="J14:K14"/>
    <mergeCell ref="L14:M14"/>
    <mergeCell ref="N14:O14"/>
    <mergeCell ref="P14:Q14"/>
    <mergeCell ref="A1:A3"/>
    <mergeCell ref="B1:I1"/>
    <mergeCell ref="J1:Q1"/>
    <mergeCell ref="B2:C2"/>
    <mergeCell ref="D2:E2"/>
    <mergeCell ref="F2:G2"/>
    <mergeCell ref="H2:I2"/>
    <mergeCell ref="J2:K2"/>
    <mergeCell ref="L2:M2"/>
    <mergeCell ref="N2:O2"/>
    <mergeCell ref="P2:Q2"/>
  </mergeCells>
  <conditionalFormatting sqref="R13 V13:IT23 T13 R15:U23 Z24:IV65530 H24:Q65530 R24:Y65517 C14:G65530 R1:S1 T1:IV12 C1:Q12 A1:B65530 H14:I23 J13:Q23">
    <cfRule type="cellIs" dxfId="7" priority="1" stopIfTrue="1" operator="equal">
      <formula>0</formula>
    </cfRule>
  </conditionalFormatting>
  <printOptions horizontalCentered="1" verticalCentered="1"/>
  <pageMargins left="0" right="0" top="0.78740157480314965" bottom="0.59055118110236227" header="0.31496062992125984" footer="0.31496062992125984"/>
  <pageSetup paperSize="9" scale="85" orientation="landscape" r:id="rId1"/>
  <headerFooter alignWithMargins="0">
    <oddHeader>&amp;CXIII. Kerületi Egészségügyi Szolgálat Közhasznú Nonprofit Kft.
2015. év állományi létszáma foglalkoztatási jogviszonyok szerinti bontásban&amp;R6. sz. melléklet</oddHeader>
    <oddFooter>&amp;L&amp;D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"/>
  <sheetViews>
    <sheetView topLeftCell="A12" workbookViewId="0">
      <selection activeCell="H26" sqref="H26"/>
    </sheetView>
  </sheetViews>
  <sheetFormatPr defaultRowHeight="21" customHeight="1" x14ac:dyDescent="0.2"/>
  <cols>
    <col min="1" max="1" width="22.28515625" style="172" customWidth="1"/>
    <col min="2" max="25" width="6.7109375" style="229" customWidth="1"/>
    <col min="26" max="256" width="9.140625" style="172"/>
    <col min="257" max="257" width="22.28515625" style="172" customWidth="1"/>
    <col min="258" max="281" width="6.7109375" style="172" customWidth="1"/>
    <col min="282" max="512" width="9.140625" style="172"/>
    <col min="513" max="513" width="22.28515625" style="172" customWidth="1"/>
    <col min="514" max="537" width="6.7109375" style="172" customWidth="1"/>
    <col min="538" max="768" width="9.140625" style="172"/>
    <col min="769" max="769" width="22.28515625" style="172" customWidth="1"/>
    <col min="770" max="793" width="6.7109375" style="172" customWidth="1"/>
    <col min="794" max="1024" width="9.140625" style="172"/>
    <col min="1025" max="1025" width="22.28515625" style="172" customWidth="1"/>
    <col min="1026" max="1049" width="6.7109375" style="172" customWidth="1"/>
    <col min="1050" max="1280" width="9.140625" style="172"/>
    <col min="1281" max="1281" width="22.28515625" style="172" customWidth="1"/>
    <col min="1282" max="1305" width="6.7109375" style="172" customWidth="1"/>
    <col min="1306" max="1536" width="9.140625" style="172"/>
    <col min="1537" max="1537" width="22.28515625" style="172" customWidth="1"/>
    <col min="1538" max="1561" width="6.7109375" style="172" customWidth="1"/>
    <col min="1562" max="1792" width="9.140625" style="172"/>
    <col min="1793" max="1793" width="22.28515625" style="172" customWidth="1"/>
    <col min="1794" max="1817" width="6.7109375" style="172" customWidth="1"/>
    <col min="1818" max="2048" width="9.140625" style="172"/>
    <col min="2049" max="2049" width="22.28515625" style="172" customWidth="1"/>
    <col min="2050" max="2073" width="6.7109375" style="172" customWidth="1"/>
    <col min="2074" max="2304" width="9.140625" style="172"/>
    <col min="2305" max="2305" width="22.28515625" style="172" customWidth="1"/>
    <col min="2306" max="2329" width="6.7109375" style="172" customWidth="1"/>
    <col min="2330" max="2560" width="9.140625" style="172"/>
    <col min="2561" max="2561" width="22.28515625" style="172" customWidth="1"/>
    <col min="2562" max="2585" width="6.7109375" style="172" customWidth="1"/>
    <col min="2586" max="2816" width="9.140625" style="172"/>
    <col min="2817" max="2817" width="22.28515625" style="172" customWidth="1"/>
    <col min="2818" max="2841" width="6.7109375" style="172" customWidth="1"/>
    <col min="2842" max="3072" width="9.140625" style="172"/>
    <col min="3073" max="3073" width="22.28515625" style="172" customWidth="1"/>
    <col min="3074" max="3097" width="6.7109375" style="172" customWidth="1"/>
    <col min="3098" max="3328" width="9.140625" style="172"/>
    <col min="3329" max="3329" width="22.28515625" style="172" customWidth="1"/>
    <col min="3330" max="3353" width="6.7109375" style="172" customWidth="1"/>
    <col min="3354" max="3584" width="9.140625" style="172"/>
    <col min="3585" max="3585" width="22.28515625" style="172" customWidth="1"/>
    <col min="3586" max="3609" width="6.7109375" style="172" customWidth="1"/>
    <col min="3610" max="3840" width="9.140625" style="172"/>
    <col min="3841" max="3841" width="22.28515625" style="172" customWidth="1"/>
    <col min="3842" max="3865" width="6.7109375" style="172" customWidth="1"/>
    <col min="3866" max="4096" width="9.140625" style="172"/>
    <col min="4097" max="4097" width="22.28515625" style="172" customWidth="1"/>
    <col min="4098" max="4121" width="6.7109375" style="172" customWidth="1"/>
    <col min="4122" max="4352" width="9.140625" style="172"/>
    <col min="4353" max="4353" width="22.28515625" style="172" customWidth="1"/>
    <col min="4354" max="4377" width="6.7109375" style="172" customWidth="1"/>
    <col min="4378" max="4608" width="9.140625" style="172"/>
    <col min="4609" max="4609" width="22.28515625" style="172" customWidth="1"/>
    <col min="4610" max="4633" width="6.7109375" style="172" customWidth="1"/>
    <col min="4634" max="4864" width="9.140625" style="172"/>
    <col min="4865" max="4865" width="22.28515625" style="172" customWidth="1"/>
    <col min="4866" max="4889" width="6.7109375" style="172" customWidth="1"/>
    <col min="4890" max="5120" width="9.140625" style="172"/>
    <col min="5121" max="5121" width="22.28515625" style="172" customWidth="1"/>
    <col min="5122" max="5145" width="6.7109375" style="172" customWidth="1"/>
    <col min="5146" max="5376" width="9.140625" style="172"/>
    <col min="5377" max="5377" width="22.28515625" style="172" customWidth="1"/>
    <col min="5378" max="5401" width="6.7109375" style="172" customWidth="1"/>
    <col min="5402" max="5632" width="9.140625" style="172"/>
    <col min="5633" max="5633" width="22.28515625" style="172" customWidth="1"/>
    <col min="5634" max="5657" width="6.7109375" style="172" customWidth="1"/>
    <col min="5658" max="5888" width="9.140625" style="172"/>
    <col min="5889" max="5889" width="22.28515625" style="172" customWidth="1"/>
    <col min="5890" max="5913" width="6.7109375" style="172" customWidth="1"/>
    <col min="5914" max="6144" width="9.140625" style="172"/>
    <col min="6145" max="6145" width="22.28515625" style="172" customWidth="1"/>
    <col min="6146" max="6169" width="6.7109375" style="172" customWidth="1"/>
    <col min="6170" max="6400" width="9.140625" style="172"/>
    <col min="6401" max="6401" width="22.28515625" style="172" customWidth="1"/>
    <col min="6402" max="6425" width="6.7109375" style="172" customWidth="1"/>
    <col min="6426" max="6656" width="9.140625" style="172"/>
    <col min="6657" max="6657" width="22.28515625" style="172" customWidth="1"/>
    <col min="6658" max="6681" width="6.7109375" style="172" customWidth="1"/>
    <col min="6682" max="6912" width="9.140625" style="172"/>
    <col min="6913" max="6913" width="22.28515625" style="172" customWidth="1"/>
    <col min="6914" max="6937" width="6.7109375" style="172" customWidth="1"/>
    <col min="6938" max="7168" width="9.140625" style="172"/>
    <col min="7169" max="7169" width="22.28515625" style="172" customWidth="1"/>
    <col min="7170" max="7193" width="6.7109375" style="172" customWidth="1"/>
    <col min="7194" max="7424" width="9.140625" style="172"/>
    <col min="7425" max="7425" width="22.28515625" style="172" customWidth="1"/>
    <col min="7426" max="7449" width="6.7109375" style="172" customWidth="1"/>
    <col min="7450" max="7680" width="9.140625" style="172"/>
    <col min="7681" max="7681" width="22.28515625" style="172" customWidth="1"/>
    <col min="7682" max="7705" width="6.7109375" style="172" customWidth="1"/>
    <col min="7706" max="7936" width="9.140625" style="172"/>
    <col min="7937" max="7937" width="22.28515625" style="172" customWidth="1"/>
    <col min="7938" max="7961" width="6.7109375" style="172" customWidth="1"/>
    <col min="7962" max="8192" width="9.140625" style="172"/>
    <col min="8193" max="8193" width="22.28515625" style="172" customWidth="1"/>
    <col min="8194" max="8217" width="6.7109375" style="172" customWidth="1"/>
    <col min="8218" max="8448" width="9.140625" style="172"/>
    <col min="8449" max="8449" width="22.28515625" style="172" customWidth="1"/>
    <col min="8450" max="8473" width="6.7109375" style="172" customWidth="1"/>
    <col min="8474" max="8704" width="9.140625" style="172"/>
    <col min="8705" max="8705" width="22.28515625" style="172" customWidth="1"/>
    <col min="8706" max="8729" width="6.7109375" style="172" customWidth="1"/>
    <col min="8730" max="8960" width="9.140625" style="172"/>
    <col min="8961" max="8961" width="22.28515625" style="172" customWidth="1"/>
    <col min="8962" max="8985" width="6.7109375" style="172" customWidth="1"/>
    <col min="8986" max="9216" width="9.140625" style="172"/>
    <col min="9217" max="9217" width="22.28515625" style="172" customWidth="1"/>
    <col min="9218" max="9241" width="6.7109375" style="172" customWidth="1"/>
    <col min="9242" max="9472" width="9.140625" style="172"/>
    <col min="9473" max="9473" width="22.28515625" style="172" customWidth="1"/>
    <col min="9474" max="9497" width="6.7109375" style="172" customWidth="1"/>
    <col min="9498" max="9728" width="9.140625" style="172"/>
    <col min="9729" max="9729" width="22.28515625" style="172" customWidth="1"/>
    <col min="9730" max="9753" width="6.7109375" style="172" customWidth="1"/>
    <col min="9754" max="9984" width="9.140625" style="172"/>
    <col min="9985" max="9985" width="22.28515625" style="172" customWidth="1"/>
    <col min="9986" max="10009" width="6.7109375" style="172" customWidth="1"/>
    <col min="10010" max="10240" width="9.140625" style="172"/>
    <col min="10241" max="10241" width="22.28515625" style="172" customWidth="1"/>
    <col min="10242" max="10265" width="6.7109375" style="172" customWidth="1"/>
    <col min="10266" max="10496" width="9.140625" style="172"/>
    <col min="10497" max="10497" width="22.28515625" style="172" customWidth="1"/>
    <col min="10498" max="10521" width="6.7109375" style="172" customWidth="1"/>
    <col min="10522" max="10752" width="9.140625" style="172"/>
    <col min="10753" max="10753" width="22.28515625" style="172" customWidth="1"/>
    <col min="10754" max="10777" width="6.7109375" style="172" customWidth="1"/>
    <col min="10778" max="11008" width="9.140625" style="172"/>
    <col min="11009" max="11009" width="22.28515625" style="172" customWidth="1"/>
    <col min="11010" max="11033" width="6.7109375" style="172" customWidth="1"/>
    <col min="11034" max="11264" width="9.140625" style="172"/>
    <col min="11265" max="11265" width="22.28515625" style="172" customWidth="1"/>
    <col min="11266" max="11289" width="6.7109375" style="172" customWidth="1"/>
    <col min="11290" max="11520" width="9.140625" style="172"/>
    <col min="11521" max="11521" width="22.28515625" style="172" customWidth="1"/>
    <col min="11522" max="11545" width="6.7109375" style="172" customWidth="1"/>
    <col min="11546" max="11776" width="9.140625" style="172"/>
    <col min="11777" max="11777" width="22.28515625" style="172" customWidth="1"/>
    <col min="11778" max="11801" width="6.7109375" style="172" customWidth="1"/>
    <col min="11802" max="12032" width="9.140625" style="172"/>
    <col min="12033" max="12033" width="22.28515625" style="172" customWidth="1"/>
    <col min="12034" max="12057" width="6.7109375" style="172" customWidth="1"/>
    <col min="12058" max="12288" width="9.140625" style="172"/>
    <col min="12289" max="12289" width="22.28515625" style="172" customWidth="1"/>
    <col min="12290" max="12313" width="6.7109375" style="172" customWidth="1"/>
    <col min="12314" max="12544" width="9.140625" style="172"/>
    <col min="12545" max="12545" width="22.28515625" style="172" customWidth="1"/>
    <col min="12546" max="12569" width="6.7109375" style="172" customWidth="1"/>
    <col min="12570" max="12800" width="9.140625" style="172"/>
    <col min="12801" max="12801" width="22.28515625" style="172" customWidth="1"/>
    <col min="12802" max="12825" width="6.7109375" style="172" customWidth="1"/>
    <col min="12826" max="13056" width="9.140625" style="172"/>
    <col min="13057" max="13057" width="22.28515625" style="172" customWidth="1"/>
    <col min="13058" max="13081" width="6.7109375" style="172" customWidth="1"/>
    <col min="13082" max="13312" width="9.140625" style="172"/>
    <col min="13313" max="13313" width="22.28515625" style="172" customWidth="1"/>
    <col min="13314" max="13337" width="6.7109375" style="172" customWidth="1"/>
    <col min="13338" max="13568" width="9.140625" style="172"/>
    <col min="13569" max="13569" width="22.28515625" style="172" customWidth="1"/>
    <col min="13570" max="13593" width="6.7109375" style="172" customWidth="1"/>
    <col min="13594" max="13824" width="9.140625" style="172"/>
    <col min="13825" max="13825" width="22.28515625" style="172" customWidth="1"/>
    <col min="13826" max="13849" width="6.7109375" style="172" customWidth="1"/>
    <col min="13850" max="14080" width="9.140625" style="172"/>
    <col min="14081" max="14081" width="22.28515625" style="172" customWidth="1"/>
    <col min="14082" max="14105" width="6.7109375" style="172" customWidth="1"/>
    <col min="14106" max="14336" width="9.140625" style="172"/>
    <col min="14337" max="14337" width="22.28515625" style="172" customWidth="1"/>
    <col min="14338" max="14361" width="6.7109375" style="172" customWidth="1"/>
    <col min="14362" max="14592" width="9.140625" style="172"/>
    <col min="14593" max="14593" width="22.28515625" style="172" customWidth="1"/>
    <col min="14594" max="14617" width="6.7109375" style="172" customWidth="1"/>
    <col min="14618" max="14848" width="9.140625" style="172"/>
    <col min="14849" max="14849" width="22.28515625" style="172" customWidth="1"/>
    <col min="14850" max="14873" width="6.7109375" style="172" customWidth="1"/>
    <col min="14874" max="15104" width="9.140625" style="172"/>
    <col min="15105" max="15105" width="22.28515625" style="172" customWidth="1"/>
    <col min="15106" max="15129" width="6.7109375" style="172" customWidth="1"/>
    <col min="15130" max="15360" width="9.140625" style="172"/>
    <col min="15361" max="15361" width="22.28515625" style="172" customWidth="1"/>
    <col min="15362" max="15385" width="6.7109375" style="172" customWidth="1"/>
    <col min="15386" max="15616" width="9.140625" style="172"/>
    <col min="15617" max="15617" width="22.28515625" style="172" customWidth="1"/>
    <col min="15618" max="15641" width="6.7109375" style="172" customWidth="1"/>
    <col min="15642" max="15872" width="9.140625" style="172"/>
    <col min="15873" max="15873" width="22.28515625" style="172" customWidth="1"/>
    <col min="15874" max="15897" width="6.7109375" style="172" customWidth="1"/>
    <col min="15898" max="16128" width="9.140625" style="172"/>
    <col min="16129" max="16129" width="22.28515625" style="172" customWidth="1"/>
    <col min="16130" max="16153" width="6.7109375" style="172" customWidth="1"/>
    <col min="16154" max="16384" width="9.140625" style="172"/>
  </cols>
  <sheetData>
    <row r="1" spans="1:43" ht="19.5" customHeight="1" x14ac:dyDescent="0.2">
      <c r="A1" s="492" t="s">
        <v>213</v>
      </c>
      <c r="B1" s="505" t="s">
        <v>214</v>
      </c>
      <c r="C1" s="497"/>
      <c r="D1" s="497"/>
      <c r="E1" s="497"/>
      <c r="F1" s="497"/>
      <c r="G1" s="497"/>
      <c r="H1" s="497"/>
      <c r="I1" s="498"/>
      <c r="J1" s="494" t="s">
        <v>215</v>
      </c>
      <c r="K1" s="495"/>
      <c r="L1" s="495"/>
      <c r="M1" s="495"/>
      <c r="N1" s="495"/>
      <c r="O1" s="495"/>
      <c r="P1" s="495"/>
      <c r="Q1" s="496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  <c r="AK1" s="229"/>
      <c r="AL1" s="229"/>
      <c r="AN1" s="229"/>
      <c r="AO1" s="229"/>
      <c r="AP1" s="229"/>
      <c r="AQ1" s="229"/>
    </row>
    <row r="2" spans="1:43" ht="24" customHeight="1" x14ac:dyDescent="0.2">
      <c r="A2" s="509"/>
      <c r="B2" s="511" t="s">
        <v>216</v>
      </c>
      <c r="C2" s="512"/>
      <c r="D2" s="513" t="s">
        <v>217</v>
      </c>
      <c r="E2" s="512"/>
      <c r="F2" s="513" t="s">
        <v>218</v>
      </c>
      <c r="G2" s="512"/>
      <c r="H2" s="513" t="s">
        <v>219</v>
      </c>
      <c r="I2" s="514"/>
      <c r="J2" s="515" t="s">
        <v>216</v>
      </c>
      <c r="K2" s="500"/>
      <c r="L2" s="500" t="s">
        <v>217</v>
      </c>
      <c r="M2" s="500"/>
      <c r="N2" s="500" t="s">
        <v>218</v>
      </c>
      <c r="O2" s="500"/>
      <c r="P2" s="500" t="s">
        <v>219</v>
      </c>
      <c r="Q2" s="516"/>
      <c r="T2" s="236"/>
      <c r="X2" s="172"/>
      <c r="Y2" s="172"/>
      <c r="AI2" s="229"/>
    </row>
    <row r="3" spans="1:43" s="229" customFormat="1" ht="24" customHeight="1" x14ac:dyDescent="0.2">
      <c r="A3" s="510"/>
      <c r="B3" s="237" t="s">
        <v>231</v>
      </c>
      <c r="C3" s="238" t="s">
        <v>232</v>
      </c>
      <c r="D3" s="239" t="str">
        <f t="shared" ref="D3:Q3" si="0">B3</f>
        <v>2015 terv</v>
      </c>
      <c r="E3" s="238" t="str">
        <f t="shared" si="0"/>
        <v>2015          tény</v>
      </c>
      <c r="F3" s="239" t="str">
        <f t="shared" si="0"/>
        <v>2015 terv</v>
      </c>
      <c r="G3" s="238" t="str">
        <f t="shared" si="0"/>
        <v>2015          tény</v>
      </c>
      <c r="H3" s="239" t="str">
        <f t="shared" si="0"/>
        <v>2015 terv</v>
      </c>
      <c r="I3" s="240" t="str">
        <f t="shared" si="0"/>
        <v>2015          tény</v>
      </c>
      <c r="J3" s="241" t="str">
        <f t="shared" si="0"/>
        <v>2015 terv</v>
      </c>
      <c r="K3" s="238" t="str">
        <f t="shared" si="0"/>
        <v>2015          tény</v>
      </c>
      <c r="L3" s="239" t="str">
        <f t="shared" si="0"/>
        <v>2015 terv</v>
      </c>
      <c r="M3" s="238" t="str">
        <f t="shared" si="0"/>
        <v>2015          tény</v>
      </c>
      <c r="N3" s="239" t="str">
        <f t="shared" si="0"/>
        <v>2015 terv</v>
      </c>
      <c r="O3" s="238" t="str">
        <f t="shared" si="0"/>
        <v>2015          tény</v>
      </c>
      <c r="P3" s="239" t="str">
        <f t="shared" si="0"/>
        <v>2015 terv</v>
      </c>
      <c r="Q3" s="242" t="str">
        <f t="shared" si="0"/>
        <v>2015          tény</v>
      </c>
      <c r="T3" s="236"/>
      <c r="X3" s="172"/>
      <c r="Y3" s="172"/>
    </row>
    <row r="4" spans="1:43" ht="19.5" customHeight="1" x14ac:dyDescent="0.2">
      <c r="A4" s="182" t="s">
        <v>220</v>
      </c>
      <c r="B4" s="243"/>
      <c r="C4" s="244"/>
      <c r="D4" s="245">
        <v>8</v>
      </c>
      <c r="E4" s="244">
        <v>8</v>
      </c>
      <c r="F4" s="245"/>
      <c r="G4" s="244"/>
      <c r="H4" s="245">
        <v>9</v>
      </c>
      <c r="I4" s="246">
        <v>9</v>
      </c>
      <c r="J4" s="247"/>
      <c r="K4" s="244"/>
      <c r="L4" s="245"/>
      <c r="M4" s="244"/>
      <c r="N4" s="245"/>
      <c r="O4" s="244"/>
      <c r="P4" s="248">
        <v>1.5</v>
      </c>
      <c r="Q4" s="282">
        <v>1.25</v>
      </c>
      <c r="T4" s="236"/>
    </row>
    <row r="5" spans="1:43" ht="19.5" customHeight="1" x14ac:dyDescent="0.2">
      <c r="A5" s="182" t="s">
        <v>221</v>
      </c>
      <c r="B5" s="243"/>
      <c r="C5" s="244"/>
      <c r="D5" s="245">
        <v>1</v>
      </c>
      <c r="E5" s="275">
        <v>0.92</v>
      </c>
      <c r="F5" s="245">
        <v>1</v>
      </c>
      <c r="G5" s="244">
        <v>1</v>
      </c>
      <c r="H5" s="245"/>
      <c r="I5" s="246"/>
      <c r="J5" s="247"/>
      <c r="K5" s="244"/>
      <c r="L5" s="245"/>
      <c r="M5" s="244"/>
      <c r="N5" s="245"/>
      <c r="O5" s="244"/>
      <c r="P5" s="248"/>
      <c r="Q5" s="249"/>
      <c r="T5" s="250"/>
      <c r="U5" s="251"/>
      <c r="V5" s="251"/>
      <c r="W5" s="251"/>
      <c r="X5" s="172"/>
      <c r="Y5" s="172"/>
    </row>
    <row r="6" spans="1:43" ht="19.5" customHeight="1" x14ac:dyDescent="0.2">
      <c r="A6" s="182" t="s">
        <v>222</v>
      </c>
      <c r="B6" s="243">
        <v>40</v>
      </c>
      <c r="C6" s="275">
        <v>39.32</v>
      </c>
      <c r="D6" s="245">
        <v>11</v>
      </c>
      <c r="E6" s="275">
        <v>8.6199999999999992</v>
      </c>
      <c r="F6" s="245">
        <v>101</v>
      </c>
      <c r="G6" s="275">
        <v>96.89</v>
      </c>
      <c r="H6" s="245">
        <v>20</v>
      </c>
      <c r="I6" s="276">
        <v>20.28</v>
      </c>
      <c r="J6" s="247">
        <v>12.1</v>
      </c>
      <c r="K6" s="275">
        <v>17.489999999999998</v>
      </c>
      <c r="L6" s="245">
        <v>0.7</v>
      </c>
      <c r="M6" s="244">
        <v>1</v>
      </c>
      <c r="N6" s="245">
        <v>9.1999999999999993</v>
      </c>
      <c r="O6" s="275">
        <v>14.82</v>
      </c>
      <c r="P6" s="248">
        <v>2.4</v>
      </c>
      <c r="Q6" s="249">
        <v>3</v>
      </c>
      <c r="T6" s="250"/>
      <c r="U6" s="251"/>
      <c r="V6" s="251"/>
      <c r="W6" s="251"/>
      <c r="X6" s="172"/>
      <c r="Y6" s="172"/>
    </row>
    <row r="7" spans="1:43" ht="19.5" customHeight="1" x14ac:dyDescent="0.2">
      <c r="A7" s="252" t="s">
        <v>223</v>
      </c>
      <c r="B7" s="243">
        <v>2</v>
      </c>
      <c r="C7" s="275">
        <v>2.4700000000000002</v>
      </c>
      <c r="D7" s="245">
        <v>1</v>
      </c>
      <c r="E7" s="244">
        <v>1</v>
      </c>
      <c r="F7" s="245">
        <v>6</v>
      </c>
      <c r="G7" s="244">
        <v>6</v>
      </c>
      <c r="H7" s="245">
        <v>2</v>
      </c>
      <c r="I7" s="276">
        <v>1.86</v>
      </c>
      <c r="J7" s="247">
        <v>0.1</v>
      </c>
      <c r="K7" s="244">
        <v>0.5</v>
      </c>
      <c r="L7" s="245"/>
      <c r="M7" s="244"/>
      <c r="N7" s="245"/>
      <c r="O7" s="244"/>
      <c r="P7" s="248"/>
      <c r="Q7" s="249"/>
      <c r="T7" s="250"/>
      <c r="U7" s="253"/>
      <c r="V7" s="253"/>
      <c r="W7" s="253"/>
      <c r="X7" s="172"/>
      <c r="Y7" s="172"/>
    </row>
    <row r="8" spans="1:43" ht="19.5" customHeight="1" x14ac:dyDescent="0.2">
      <c r="A8" s="252" t="s">
        <v>159</v>
      </c>
      <c r="B8" s="243">
        <v>1</v>
      </c>
      <c r="C8" s="244">
        <v>1</v>
      </c>
      <c r="D8" s="245"/>
      <c r="E8" s="244"/>
      <c r="F8" s="245">
        <v>2</v>
      </c>
      <c r="G8" s="244">
        <v>2</v>
      </c>
      <c r="H8" s="245"/>
      <c r="I8" s="246"/>
      <c r="J8" s="247"/>
      <c r="K8" s="244"/>
      <c r="L8" s="245"/>
      <c r="M8" s="244"/>
      <c r="N8" s="245"/>
      <c r="O8" s="244"/>
      <c r="P8" s="248"/>
      <c r="Q8" s="249"/>
      <c r="T8" s="250"/>
      <c r="X8" s="172"/>
      <c r="Y8" s="172"/>
    </row>
    <row r="9" spans="1:43" ht="19.5" customHeight="1" x14ac:dyDescent="0.2">
      <c r="A9" s="182" t="s">
        <v>224</v>
      </c>
      <c r="B9" s="243"/>
      <c r="C9" s="244"/>
      <c r="D9" s="245">
        <v>46</v>
      </c>
      <c r="E9" s="275">
        <v>40.81</v>
      </c>
      <c r="F9" s="245"/>
      <c r="G9" s="244"/>
      <c r="H9" s="245"/>
      <c r="I9" s="246"/>
      <c r="J9" s="247"/>
      <c r="K9" s="244"/>
      <c r="L9" s="245"/>
      <c r="M9" s="244"/>
      <c r="N9" s="245"/>
      <c r="O9" s="244"/>
      <c r="P9" s="248"/>
      <c r="Q9" s="249"/>
      <c r="T9" s="250"/>
      <c r="X9" s="172"/>
      <c r="Y9" s="172"/>
    </row>
    <row r="10" spans="1:43" ht="19.5" customHeight="1" x14ac:dyDescent="0.2">
      <c r="A10" s="182" t="s">
        <v>225</v>
      </c>
      <c r="B10" s="243">
        <v>5</v>
      </c>
      <c r="C10" s="244">
        <v>4</v>
      </c>
      <c r="D10" s="245"/>
      <c r="E10" s="244"/>
      <c r="F10" s="245"/>
      <c r="G10" s="244"/>
      <c r="H10" s="245"/>
      <c r="I10" s="246"/>
      <c r="J10" s="247"/>
      <c r="K10" s="244"/>
      <c r="L10" s="245"/>
      <c r="M10" s="244"/>
      <c r="N10" s="245"/>
      <c r="O10" s="244"/>
      <c r="P10" s="248"/>
      <c r="Q10" s="249"/>
      <c r="T10" s="250"/>
      <c r="X10" s="172"/>
      <c r="Y10" s="172"/>
    </row>
    <row r="11" spans="1:43" ht="19.5" customHeight="1" thickBot="1" x14ac:dyDescent="0.25">
      <c r="A11" s="254" t="s">
        <v>3</v>
      </c>
      <c r="B11" s="255">
        <f t="shared" ref="B11:Q11" si="1">SUM(B4:B10)</f>
        <v>48</v>
      </c>
      <c r="C11" s="277">
        <f t="shared" si="1"/>
        <v>46.79</v>
      </c>
      <c r="D11" s="257">
        <f t="shared" si="1"/>
        <v>67</v>
      </c>
      <c r="E11" s="278">
        <f t="shared" si="1"/>
        <v>59.35</v>
      </c>
      <c r="F11" s="257">
        <f t="shared" si="1"/>
        <v>110</v>
      </c>
      <c r="G11" s="277">
        <f t="shared" si="1"/>
        <v>105.89</v>
      </c>
      <c r="H11" s="257">
        <f t="shared" si="1"/>
        <v>31</v>
      </c>
      <c r="I11" s="278">
        <f t="shared" si="1"/>
        <v>31.14</v>
      </c>
      <c r="J11" s="255">
        <f t="shared" si="1"/>
        <v>12.2</v>
      </c>
      <c r="K11" s="277">
        <f t="shared" si="1"/>
        <v>17.989999999999998</v>
      </c>
      <c r="L11" s="257">
        <f t="shared" si="1"/>
        <v>0.7</v>
      </c>
      <c r="M11" s="278">
        <f t="shared" si="1"/>
        <v>1</v>
      </c>
      <c r="N11" s="257">
        <f t="shared" si="1"/>
        <v>9.1999999999999993</v>
      </c>
      <c r="O11" s="277">
        <f t="shared" si="1"/>
        <v>14.82</v>
      </c>
      <c r="P11" s="257">
        <f t="shared" si="1"/>
        <v>3.9</v>
      </c>
      <c r="Q11" s="279">
        <f t="shared" si="1"/>
        <v>4.25</v>
      </c>
      <c r="T11" s="250"/>
      <c r="X11" s="172"/>
      <c r="Y11" s="172"/>
    </row>
    <row r="12" spans="1:43" ht="13.5" customHeight="1" thickBot="1" x14ac:dyDescent="0.25">
      <c r="T12" s="250"/>
      <c r="X12" s="172"/>
      <c r="Y12" s="172"/>
    </row>
    <row r="13" spans="1:43" ht="24" customHeight="1" x14ac:dyDescent="0.2">
      <c r="A13" s="517" t="s">
        <v>213</v>
      </c>
      <c r="B13" s="505" t="s">
        <v>226</v>
      </c>
      <c r="C13" s="497"/>
      <c r="D13" s="497"/>
      <c r="E13" s="497"/>
      <c r="F13" s="497"/>
      <c r="G13" s="497"/>
      <c r="H13" s="497"/>
      <c r="I13" s="498"/>
      <c r="J13" s="494" t="s">
        <v>3</v>
      </c>
      <c r="K13" s="495"/>
      <c r="L13" s="495"/>
      <c r="M13" s="495"/>
      <c r="N13" s="495"/>
      <c r="O13" s="495"/>
      <c r="P13" s="495"/>
      <c r="Q13" s="496"/>
      <c r="R13" s="520" t="s">
        <v>3</v>
      </c>
      <c r="S13" s="521"/>
      <c r="T13" s="524" t="s">
        <v>227</v>
      </c>
      <c r="U13" s="525"/>
    </row>
    <row r="14" spans="1:43" ht="24" customHeight="1" x14ac:dyDescent="0.2">
      <c r="A14" s="518"/>
      <c r="B14" s="511" t="s">
        <v>216</v>
      </c>
      <c r="C14" s="512"/>
      <c r="D14" s="513" t="s">
        <v>217</v>
      </c>
      <c r="E14" s="512"/>
      <c r="F14" s="513" t="s">
        <v>218</v>
      </c>
      <c r="G14" s="512"/>
      <c r="H14" s="500" t="s">
        <v>219</v>
      </c>
      <c r="I14" s="516"/>
      <c r="J14" s="515" t="s">
        <v>216</v>
      </c>
      <c r="K14" s="500"/>
      <c r="L14" s="500" t="s">
        <v>217</v>
      </c>
      <c r="M14" s="500"/>
      <c r="N14" s="500" t="s">
        <v>218</v>
      </c>
      <c r="O14" s="500"/>
      <c r="P14" s="500" t="s">
        <v>219</v>
      </c>
      <c r="Q14" s="516"/>
      <c r="R14" s="522"/>
      <c r="S14" s="523"/>
      <c r="T14" s="526"/>
      <c r="U14" s="527"/>
    </row>
    <row r="15" spans="1:43" s="229" customFormat="1" ht="24" customHeight="1" x14ac:dyDescent="0.2">
      <c r="A15" s="519"/>
      <c r="B15" s="237" t="str">
        <f t="shared" ref="B15:G15" si="2">B3</f>
        <v>2015 terv</v>
      </c>
      <c r="C15" s="240" t="str">
        <f t="shared" si="2"/>
        <v>2015          tény</v>
      </c>
      <c r="D15" s="260" t="str">
        <f t="shared" si="2"/>
        <v>2015 terv</v>
      </c>
      <c r="E15" s="240" t="str">
        <f t="shared" si="2"/>
        <v>2015          tény</v>
      </c>
      <c r="F15" s="260" t="str">
        <f t="shared" si="2"/>
        <v>2015 terv</v>
      </c>
      <c r="G15" s="240" t="str">
        <f t="shared" si="2"/>
        <v>2015          tény</v>
      </c>
      <c r="H15" s="239" t="str">
        <f t="shared" ref="H15:I15" si="3">F15</f>
        <v>2015 terv</v>
      </c>
      <c r="I15" s="242" t="str">
        <f t="shared" si="3"/>
        <v>2015          tény</v>
      </c>
      <c r="J15" s="237" t="str">
        <f t="shared" ref="J15:O15" si="4">L3</f>
        <v>2015 terv</v>
      </c>
      <c r="K15" s="240" t="str">
        <f t="shared" si="4"/>
        <v>2015          tény</v>
      </c>
      <c r="L15" s="260" t="str">
        <f t="shared" si="4"/>
        <v>2015 terv</v>
      </c>
      <c r="M15" s="240" t="str">
        <f t="shared" si="4"/>
        <v>2015          tény</v>
      </c>
      <c r="N15" s="260" t="str">
        <f t="shared" si="4"/>
        <v>2015 terv</v>
      </c>
      <c r="O15" s="240" t="str">
        <f t="shared" si="4"/>
        <v>2015          tény</v>
      </c>
      <c r="P15" s="260" t="str">
        <f t="shared" ref="P15:U15" si="5">N15</f>
        <v>2015 terv</v>
      </c>
      <c r="Q15" s="240" t="str">
        <f t="shared" si="5"/>
        <v>2015          tény</v>
      </c>
      <c r="R15" s="237" t="str">
        <f t="shared" si="5"/>
        <v>2015 terv</v>
      </c>
      <c r="S15" s="240" t="str">
        <f t="shared" si="5"/>
        <v>2015          tény</v>
      </c>
      <c r="T15" s="241" t="str">
        <f t="shared" si="5"/>
        <v>2015 terv</v>
      </c>
      <c r="U15" s="242" t="str">
        <f t="shared" si="5"/>
        <v>2015          tény</v>
      </c>
    </row>
    <row r="16" spans="1:43" s="229" customFormat="1" ht="19.5" customHeight="1" x14ac:dyDescent="0.2">
      <c r="A16" s="182" t="s">
        <v>220</v>
      </c>
      <c r="B16" s="243"/>
      <c r="C16" s="244"/>
      <c r="D16" s="245"/>
      <c r="E16" s="244"/>
      <c r="F16" s="245"/>
      <c r="G16" s="244"/>
      <c r="H16" s="248"/>
      <c r="I16" s="249"/>
      <c r="J16" s="261">
        <f>SUM(B4,J4,B16)</f>
        <v>0</v>
      </c>
      <c r="K16" s="280">
        <f t="shared" ref="K16:Q22" si="6">SUM(C4,K4,C16)</f>
        <v>0</v>
      </c>
      <c r="L16" s="262">
        <f t="shared" si="6"/>
        <v>8</v>
      </c>
      <c r="M16" s="263">
        <f t="shared" si="6"/>
        <v>8</v>
      </c>
      <c r="N16" s="262">
        <f t="shared" si="6"/>
        <v>0</v>
      </c>
      <c r="O16" s="280">
        <f t="shared" si="6"/>
        <v>0</v>
      </c>
      <c r="P16" s="262">
        <f t="shared" si="6"/>
        <v>10.5</v>
      </c>
      <c r="Q16" s="280">
        <f t="shared" si="6"/>
        <v>10.25</v>
      </c>
      <c r="R16" s="264">
        <f t="shared" ref="R16:S22" si="7">IF(SUM(J16,L16,N16,P16)&gt;0,SUM(J16,L16,N16,P16),"")</f>
        <v>18.5</v>
      </c>
      <c r="S16" s="281">
        <f t="shared" si="7"/>
        <v>18.25</v>
      </c>
      <c r="T16" s="266">
        <v>0.5</v>
      </c>
      <c r="U16" s="249">
        <v>0.5</v>
      </c>
      <c r="Z16" s="172"/>
      <c r="AA16" s="172"/>
      <c r="AB16" s="172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</row>
    <row r="17" spans="1:43" s="229" customFormat="1" ht="19.5" customHeight="1" x14ac:dyDescent="0.2">
      <c r="A17" s="182" t="s">
        <v>221</v>
      </c>
      <c r="B17" s="243"/>
      <c r="C17" s="244"/>
      <c r="D17" s="245"/>
      <c r="E17" s="244"/>
      <c r="F17" s="245"/>
      <c r="G17" s="244"/>
      <c r="H17" s="248"/>
      <c r="I17" s="249"/>
      <c r="J17" s="261">
        <f t="shared" ref="J17:J22" si="8">SUM(B5,J5,B17)</f>
        <v>0</v>
      </c>
      <c r="K17" s="280">
        <f t="shared" si="6"/>
        <v>0</v>
      </c>
      <c r="L17" s="262">
        <f t="shared" si="6"/>
        <v>1</v>
      </c>
      <c r="M17" s="280">
        <f t="shared" si="6"/>
        <v>0.92</v>
      </c>
      <c r="N17" s="262">
        <f t="shared" si="6"/>
        <v>1</v>
      </c>
      <c r="O17" s="263">
        <f t="shared" si="6"/>
        <v>1</v>
      </c>
      <c r="P17" s="262">
        <f t="shared" si="6"/>
        <v>0</v>
      </c>
      <c r="Q17" s="280">
        <f t="shared" si="6"/>
        <v>0</v>
      </c>
      <c r="R17" s="264">
        <f t="shared" si="7"/>
        <v>2</v>
      </c>
      <c r="S17" s="281">
        <f t="shared" si="7"/>
        <v>1.92</v>
      </c>
      <c r="T17" s="266"/>
      <c r="U17" s="249"/>
      <c r="Z17" s="172"/>
      <c r="AA17" s="172"/>
      <c r="AB17" s="172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</row>
    <row r="18" spans="1:43" s="229" customFormat="1" ht="19.5" customHeight="1" x14ac:dyDescent="0.2">
      <c r="A18" s="182" t="s">
        <v>222</v>
      </c>
      <c r="B18" s="243">
        <v>3.6</v>
      </c>
      <c r="C18" s="275">
        <v>2.37</v>
      </c>
      <c r="D18" s="245">
        <v>0.2</v>
      </c>
      <c r="E18" s="244">
        <v>0.2</v>
      </c>
      <c r="F18" s="245"/>
      <c r="G18" s="244"/>
      <c r="H18" s="248"/>
      <c r="I18" s="249"/>
      <c r="J18" s="261">
        <f t="shared" si="8"/>
        <v>55.7</v>
      </c>
      <c r="K18" s="280">
        <f t="shared" si="6"/>
        <v>59.18</v>
      </c>
      <c r="L18" s="262">
        <f t="shared" si="6"/>
        <v>11.899999999999999</v>
      </c>
      <c r="M18" s="280">
        <f t="shared" si="6"/>
        <v>9.8199999999999985</v>
      </c>
      <c r="N18" s="262">
        <f t="shared" si="6"/>
        <v>110.2</v>
      </c>
      <c r="O18" s="280">
        <f t="shared" si="6"/>
        <v>111.71000000000001</v>
      </c>
      <c r="P18" s="262">
        <f t="shared" si="6"/>
        <v>22.4</v>
      </c>
      <c r="Q18" s="280">
        <f t="shared" si="6"/>
        <v>23.28</v>
      </c>
      <c r="R18" s="264">
        <f>IF(SUM(J18,L18,N18,P18)&gt;0,SUM(J18,L18,N18,P18),"")</f>
        <v>200.20000000000002</v>
      </c>
      <c r="S18" s="281">
        <f t="shared" si="7"/>
        <v>203.99</v>
      </c>
      <c r="T18" s="266">
        <v>1.5</v>
      </c>
      <c r="U18" s="249">
        <v>1.5</v>
      </c>
      <c r="Z18" s="172"/>
      <c r="AA18" s="172"/>
      <c r="AB18" s="172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</row>
    <row r="19" spans="1:43" s="229" customFormat="1" ht="19.5" customHeight="1" x14ac:dyDescent="0.2">
      <c r="A19" s="252" t="s">
        <v>223</v>
      </c>
      <c r="B19" s="243">
        <v>0.2</v>
      </c>
      <c r="C19" s="244">
        <v>0.2</v>
      </c>
      <c r="D19" s="245"/>
      <c r="E19" s="244"/>
      <c r="F19" s="245"/>
      <c r="G19" s="244"/>
      <c r="H19" s="248"/>
      <c r="I19" s="249"/>
      <c r="J19" s="261">
        <f t="shared" si="8"/>
        <v>2.3000000000000003</v>
      </c>
      <c r="K19" s="280">
        <f t="shared" si="6"/>
        <v>3.1700000000000004</v>
      </c>
      <c r="L19" s="262">
        <f t="shared" si="6"/>
        <v>1</v>
      </c>
      <c r="M19" s="263">
        <f t="shared" si="6"/>
        <v>1</v>
      </c>
      <c r="N19" s="262">
        <f t="shared" si="6"/>
        <v>6</v>
      </c>
      <c r="O19" s="263">
        <f t="shared" si="6"/>
        <v>6</v>
      </c>
      <c r="P19" s="262">
        <f t="shared" si="6"/>
        <v>2</v>
      </c>
      <c r="Q19" s="280">
        <f t="shared" si="6"/>
        <v>1.86</v>
      </c>
      <c r="R19" s="264">
        <f t="shared" si="7"/>
        <v>11.3</v>
      </c>
      <c r="S19" s="281">
        <f t="shared" si="7"/>
        <v>12.03</v>
      </c>
      <c r="T19" s="266"/>
      <c r="U19" s="249"/>
      <c r="Z19" s="172"/>
      <c r="AA19" s="172"/>
      <c r="AB19" s="172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</row>
    <row r="20" spans="1:43" s="229" customFormat="1" ht="19.5" customHeight="1" x14ac:dyDescent="0.2">
      <c r="A20" s="252" t="s">
        <v>159</v>
      </c>
      <c r="B20" s="243">
        <v>1</v>
      </c>
      <c r="C20" s="244">
        <v>1</v>
      </c>
      <c r="D20" s="245"/>
      <c r="E20" s="244"/>
      <c r="F20" s="245"/>
      <c r="G20" s="244"/>
      <c r="H20" s="248"/>
      <c r="I20" s="249"/>
      <c r="J20" s="261">
        <f t="shared" si="8"/>
        <v>2</v>
      </c>
      <c r="K20" s="263">
        <f t="shared" si="6"/>
        <v>2</v>
      </c>
      <c r="L20" s="262">
        <f t="shared" si="6"/>
        <v>0</v>
      </c>
      <c r="M20" s="280">
        <f t="shared" si="6"/>
        <v>0</v>
      </c>
      <c r="N20" s="262">
        <f t="shared" si="6"/>
        <v>2</v>
      </c>
      <c r="O20" s="263">
        <f t="shared" si="6"/>
        <v>2</v>
      </c>
      <c r="P20" s="262">
        <f t="shared" si="6"/>
        <v>0</v>
      </c>
      <c r="Q20" s="280">
        <f t="shared" si="6"/>
        <v>0</v>
      </c>
      <c r="R20" s="264">
        <f t="shared" si="7"/>
        <v>4</v>
      </c>
      <c r="S20" s="265">
        <f t="shared" si="7"/>
        <v>4</v>
      </c>
      <c r="T20" s="266"/>
      <c r="U20" s="249"/>
      <c r="Z20" s="172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</row>
    <row r="21" spans="1:43" s="229" customFormat="1" ht="19.5" customHeight="1" x14ac:dyDescent="0.2">
      <c r="A21" s="182" t="s">
        <v>224</v>
      </c>
      <c r="B21" s="243"/>
      <c r="C21" s="244"/>
      <c r="D21" s="245"/>
      <c r="E21" s="244"/>
      <c r="F21" s="245"/>
      <c r="G21" s="244"/>
      <c r="H21" s="248"/>
      <c r="I21" s="249"/>
      <c r="J21" s="261">
        <f t="shared" si="8"/>
        <v>0</v>
      </c>
      <c r="K21" s="280">
        <f t="shared" si="6"/>
        <v>0</v>
      </c>
      <c r="L21" s="262">
        <f t="shared" si="6"/>
        <v>46</v>
      </c>
      <c r="M21" s="280">
        <f t="shared" si="6"/>
        <v>40.81</v>
      </c>
      <c r="N21" s="262">
        <f t="shared" si="6"/>
        <v>0</v>
      </c>
      <c r="O21" s="280">
        <f t="shared" si="6"/>
        <v>0</v>
      </c>
      <c r="P21" s="262">
        <f t="shared" si="6"/>
        <v>0</v>
      </c>
      <c r="Q21" s="280">
        <f t="shared" si="6"/>
        <v>0</v>
      </c>
      <c r="R21" s="264">
        <f t="shared" si="7"/>
        <v>46</v>
      </c>
      <c r="S21" s="281">
        <f t="shared" si="7"/>
        <v>40.81</v>
      </c>
      <c r="T21" s="266">
        <v>0.4</v>
      </c>
      <c r="U21" s="249">
        <v>0.4</v>
      </c>
      <c r="Z21" s="172"/>
      <c r="AA21" s="172"/>
      <c r="AB21" s="172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</row>
    <row r="22" spans="1:43" s="229" customFormat="1" ht="19.5" customHeight="1" x14ac:dyDescent="0.2">
      <c r="A22" s="182" t="s">
        <v>225</v>
      </c>
      <c r="B22" s="243"/>
      <c r="C22" s="244"/>
      <c r="D22" s="245"/>
      <c r="E22" s="244"/>
      <c r="F22" s="245"/>
      <c r="G22" s="244"/>
      <c r="H22" s="248"/>
      <c r="I22" s="249"/>
      <c r="J22" s="261">
        <f t="shared" si="8"/>
        <v>5</v>
      </c>
      <c r="K22" s="280">
        <f t="shared" si="6"/>
        <v>4</v>
      </c>
      <c r="L22" s="262">
        <f t="shared" si="6"/>
        <v>0</v>
      </c>
      <c r="M22" s="280">
        <f t="shared" si="6"/>
        <v>0</v>
      </c>
      <c r="N22" s="262">
        <f t="shared" si="6"/>
        <v>0</v>
      </c>
      <c r="O22" s="280">
        <f t="shared" si="6"/>
        <v>0</v>
      </c>
      <c r="P22" s="262">
        <f t="shared" si="6"/>
        <v>0</v>
      </c>
      <c r="Q22" s="280">
        <f t="shared" si="6"/>
        <v>0</v>
      </c>
      <c r="R22" s="264">
        <f t="shared" si="7"/>
        <v>5</v>
      </c>
      <c r="S22" s="265">
        <f t="shared" si="7"/>
        <v>4</v>
      </c>
      <c r="T22" s="266"/>
      <c r="U22" s="249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</row>
    <row r="23" spans="1:43" s="229" customFormat="1" ht="19.5" customHeight="1" thickBot="1" x14ac:dyDescent="0.25">
      <c r="A23" s="254" t="s">
        <v>3</v>
      </c>
      <c r="B23" s="255">
        <f t="shared" ref="B23:Q23" si="9">SUM(B16:B22)</f>
        <v>4.8000000000000007</v>
      </c>
      <c r="C23" s="277">
        <f t="shared" si="9"/>
        <v>3.5700000000000003</v>
      </c>
      <c r="D23" s="257">
        <f t="shared" si="9"/>
        <v>0.2</v>
      </c>
      <c r="E23" s="258">
        <f t="shared" si="9"/>
        <v>0.2</v>
      </c>
      <c r="F23" s="257">
        <f t="shared" si="9"/>
        <v>0</v>
      </c>
      <c r="G23" s="256">
        <f t="shared" si="9"/>
        <v>0</v>
      </c>
      <c r="H23" s="257">
        <f t="shared" si="9"/>
        <v>0</v>
      </c>
      <c r="I23" s="259">
        <f t="shared" si="9"/>
        <v>0</v>
      </c>
      <c r="J23" s="255">
        <f t="shared" si="9"/>
        <v>65</v>
      </c>
      <c r="K23" s="277">
        <f t="shared" si="9"/>
        <v>68.349999999999994</v>
      </c>
      <c r="L23" s="257">
        <f t="shared" si="9"/>
        <v>67.900000000000006</v>
      </c>
      <c r="M23" s="278">
        <f t="shared" si="9"/>
        <v>60.55</v>
      </c>
      <c r="N23" s="257">
        <f t="shared" si="9"/>
        <v>119.2</v>
      </c>
      <c r="O23" s="277">
        <f t="shared" si="9"/>
        <v>120.71000000000001</v>
      </c>
      <c r="P23" s="257">
        <f t="shared" si="9"/>
        <v>34.9</v>
      </c>
      <c r="Q23" s="278">
        <f t="shared" si="9"/>
        <v>35.39</v>
      </c>
      <c r="R23" s="255">
        <f>SUM(R16:R22)</f>
        <v>287</v>
      </c>
      <c r="S23" s="277">
        <f>SUM(S16:S22)</f>
        <v>285</v>
      </c>
      <c r="T23" s="267">
        <f>SUM(T16:T22)</f>
        <v>2.4</v>
      </c>
      <c r="U23" s="268">
        <f>SUM(U16:U22)</f>
        <v>2.4</v>
      </c>
      <c r="Z23" s="172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</row>
    <row r="24" spans="1:43" s="229" customFormat="1" ht="13.5" customHeight="1" x14ac:dyDescent="0.2">
      <c r="A24" s="172"/>
      <c r="Z24" s="172"/>
      <c r="AA24" s="172"/>
      <c r="AB24" s="172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</row>
  </sheetData>
  <mergeCells count="24">
    <mergeCell ref="A13:A15"/>
    <mergeCell ref="B13:I13"/>
    <mergeCell ref="J13:Q13"/>
    <mergeCell ref="R13:S14"/>
    <mergeCell ref="T13:U14"/>
    <mergeCell ref="B14:C14"/>
    <mergeCell ref="D14:E14"/>
    <mergeCell ref="F14:G14"/>
    <mergeCell ref="H14:I14"/>
    <mergeCell ref="J14:K14"/>
    <mergeCell ref="L14:M14"/>
    <mergeCell ref="N14:O14"/>
    <mergeCell ref="P14:Q14"/>
    <mergeCell ref="A1:A3"/>
    <mergeCell ref="B1:I1"/>
    <mergeCell ref="J1:Q1"/>
    <mergeCell ref="B2:C2"/>
    <mergeCell ref="D2:E2"/>
    <mergeCell ref="F2:G2"/>
    <mergeCell ref="H2:I2"/>
    <mergeCell ref="J2:K2"/>
    <mergeCell ref="L2:M2"/>
    <mergeCell ref="N2:O2"/>
    <mergeCell ref="P2:Q2"/>
  </mergeCells>
  <conditionalFormatting sqref="R13 V13:IT23 T13 R15:U23 Z24:IV65530 H24:Q65530 R24:Y65517 C14:G65530 R1:S1 T1:IV12 C1:Q12 A1:B65530 H14:I23 J13:Q23">
    <cfRule type="cellIs" dxfId="6" priority="1" stopIfTrue="1" operator="equal">
      <formula>0</formula>
    </cfRule>
  </conditionalFormatting>
  <printOptions horizontalCentered="1" verticalCentered="1"/>
  <pageMargins left="0" right="0" top="0.78740157480314965" bottom="0.59055118110236227" header="0.31496062992125984" footer="0.31496062992125984"/>
  <pageSetup paperSize="9" scale="85" orientation="landscape" r:id="rId1"/>
  <headerFooter alignWithMargins="0">
    <oddHeader>&amp;CXIII. Kerületi Egészségügyi Szolgálat Közhasznú Nonprofit Kft.
2015. év statisztikai létszáma foglalkoztatási jogviszonyok szerinti bontásban&amp;R6. sz. melléklet</oddHeader>
    <oddFooter>&amp;L&amp;D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opLeftCell="D1" zoomScale="80" zoomScaleNormal="80" workbookViewId="0">
      <selection activeCell="O2" sqref="O2"/>
    </sheetView>
  </sheetViews>
  <sheetFormatPr defaultRowHeight="16.5" customHeight="1" x14ac:dyDescent="0.2"/>
  <cols>
    <col min="1" max="1" width="3.42578125" style="44" customWidth="1"/>
    <col min="2" max="2" width="50.7109375" style="45" customWidth="1"/>
    <col min="3" max="4" width="14.5703125" style="45" customWidth="1"/>
    <col min="5" max="5" width="11.7109375" style="45" customWidth="1"/>
    <col min="6" max="7" width="14.7109375" style="8" customWidth="1"/>
    <col min="8" max="8" width="11.7109375" style="26" customWidth="1"/>
    <col min="9" max="10" width="14.7109375" style="8" customWidth="1"/>
    <col min="11" max="11" width="11.7109375" style="26" customWidth="1"/>
    <col min="12" max="12" width="14.5703125" style="8" customWidth="1"/>
    <col min="13" max="13" width="13.5703125" style="8" customWidth="1"/>
    <col min="14" max="14" width="11.7109375" style="26" customWidth="1"/>
    <col min="15" max="16384" width="9.140625" style="8"/>
  </cols>
  <sheetData>
    <row r="1" spans="1:14" ht="17.25" customHeight="1" x14ac:dyDescent="0.2">
      <c r="A1" s="530"/>
      <c r="B1" s="531"/>
      <c r="C1" s="505" t="s">
        <v>458</v>
      </c>
      <c r="D1" s="497"/>
      <c r="E1" s="498"/>
      <c r="F1" s="501" t="s">
        <v>123</v>
      </c>
      <c r="G1" s="528"/>
      <c r="H1" s="529"/>
      <c r="I1" s="497" t="s">
        <v>459</v>
      </c>
      <c r="J1" s="497"/>
      <c r="K1" s="497"/>
      <c r="L1" s="505" t="s">
        <v>460</v>
      </c>
      <c r="M1" s="497"/>
      <c r="N1" s="498"/>
    </row>
    <row r="2" spans="1:14" ht="51" customHeight="1" x14ac:dyDescent="0.2">
      <c r="A2" s="532"/>
      <c r="B2" s="533"/>
      <c r="C2" s="34" t="s">
        <v>18</v>
      </c>
      <c r="D2" s="269" t="s">
        <v>19</v>
      </c>
      <c r="E2" s="37" t="s">
        <v>3</v>
      </c>
      <c r="F2" s="34" t="s">
        <v>18</v>
      </c>
      <c r="G2" s="35" t="s">
        <v>19</v>
      </c>
      <c r="H2" s="36" t="s">
        <v>3</v>
      </c>
      <c r="I2" s="64" t="s">
        <v>18</v>
      </c>
      <c r="J2" s="1" t="s">
        <v>19</v>
      </c>
      <c r="K2" s="37" t="s">
        <v>3</v>
      </c>
      <c r="L2" s="34" t="s">
        <v>18</v>
      </c>
      <c r="M2" s="38" t="s">
        <v>19</v>
      </c>
      <c r="N2" s="39" t="s">
        <v>3</v>
      </c>
    </row>
    <row r="3" spans="1:14" s="45" customFormat="1" ht="17.25" customHeight="1" x14ac:dyDescent="0.2">
      <c r="A3" s="40">
        <v>1</v>
      </c>
      <c r="B3" s="111" t="s">
        <v>20</v>
      </c>
      <c r="C3" s="76">
        <v>646338</v>
      </c>
      <c r="D3" s="70">
        <v>7658</v>
      </c>
      <c r="E3" s="12">
        <f>SUM(C3:D3)</f>
        <v>653996</v>
      </c>
      <c r="F3" s="76">
        <v>679843</v>
      </c>
      <c r="G3" s="70">
        <v>3984</v>
      </c>
      <c r="H3" s="12">
        <f>SUM(F3:G3)</f>
        <v>683827</v>
      </c>
      <c r="I3" s="76">
        <v>652594</v>
      </c>
      <c r="J3" s="70">
        <v>6931</v>
      </c>
      <c r="K3" s="12">
        <f>SUM(I3:J3)</f>
        <v>659525</v>
      </c>
      <c r="L3" s="65">
        <f>I3/F3</f>
        <v>0.95991868710864126</v>
      </c>
      <c r="M3" s="63">
        <f>J3/G3</f>
        <v>1.7397088353413654</v>
      </c>
      <c r="N3" s="17">
        <f>K3/H3</f>
        <v>0.96446177176391101</v>
      </c>
    </row>
    <row r="4" spans="1:14" s="45" customFormat="1" ht="17.25" customHeight="1" x14ac:dyDescent="0.2">
      <c r="A4" s="40"/>
      <c r="B4" s="111" t="s">
        <v>114</v>
      </c>
      <c r="C4" s="76">
        <v>21539</v>
      </c>
      <c r="D4" s="70"/>
      <c r="E4" s="12">
        <f>SUM(C4:D4)</f>
        <v>21539</v>
      </c>
      <c r="F4" s="76"/>
      <c r="G4" s="70"/>
      <c r="H4" s="12">
        <f>SUM(F4:G4)</f>
        <v>0</v>
      </c>
      <c r="I4" s="76">
        <v>20045</v>
      </c>
      <c r="J4" s="70"/>
      <c r="K4" s="12">
        <f>SUM(I4:J4)</f>
        <v>20045</v>
      </c>
      <c r="L4" s="65"/>
      <c r="M4" s="63"/>
      <c r="N4" s="17"/>
    </row>
    <row r="5" spans="1:14" s="45" customFormat="1" ht="17.25" customHeight="1" x14ac:dyDescent="0.2">
      <c r="A5" s="40"/>
      <c r="B5" s="111" t="s">
        <v>111</v>
      </c>
      <c r="C5" s="76">
        <v>88945</v>
      </c>
      <c r="D5" s="70"/>
      <c r="E5" s="12">
        <f>SUM(C5:D5)</f>
        <v>88945</v>
      </c>
      <c r="F5" s="76">
        <v>111095</v>
      </c>
      <c r="G5" s="70"/>
      <c r="H5" s="12">
        <f>SUM(F5:G5)</f>
        <v>111095</v>
      </c>
      <c r="I5" s="76">
        <v>92491</v>
      </c>
      <c r="J5" s="70"/>
      <c r="K5" s="12">
        <f>SUM(I5:J5)</f>
        <v>92491</v>
      </c>
      <c r="L5" s="65">
        <f t="shared" ref="L5:L14" si="0">I5/F5</f>
        <v>0.83253971825914752</v>
      </c>
      <c r="M5" s="63"/>
      <c r="N5" s="17">
        <f t="shared" ref="N5:N14" si="1">K5/H5</f>
        <v>0.83253971825914752</v>
      </c>
    </row>
    <row r="6" spans="1:14" s="45" customFormat="1" ht="17.25" customHeight="1" x14ac:dyDescent="0.2">
      <c r="A6" s="40"/>
      <c r="B6" s="111" t="s">
        <v>466</v>
      </c>
      <c r="C6" s="76">
        <v>5744</v>
      </c>
      <c r="D6" s="70"/>
      <c r="E6" s="12">
        <f t="shared" ref="E6:E18" si="2">SUM(C6:D6)</f>
        <v>5744</v>
      </c>
      <c r="F6" s="76">
        <v>36986</v>
      </c>
      <c r="G6" s="70"/>
      <c r="H6" s="12">
        <f t="shared" ref="H6:H18" si="3">SUM(F6:G6)</f>
        <v>36986</v>
      </c>
      <c r="I6" s="76">
        <v>5876</v>
      </c>
      <c r="J6" s="70"/>
      <c r="K6" s="12">
        <f t="shared" ref="K6" si="4">SUM(I6:J6)</f>
        <v>5876</v>
      </c>
      <c r="L6" s="65">
        <f t="shared" ref="L6" si="5">I6/F6</f>
        <v>0.15887092413345591</v>
      </c>
      <c r="M6" s="63"/>
      <c r="N6" s="17">
        <f t="shared" ref="N6" si="6">K6/H6</f>
        <v>0.15887092413345591</v>
      </c>
    </row>
    <row r="7" spans="1:14" s="45" customFormat="1" ht="17.25" customHeight="1" x14ac:dyDescent="0.2">
      <c r="A7" s="40">
        <v>2</v>
      </c>
      <c r="B7" s="111" t="s">
        <v>21</v>
      </c>
      <c r="C7" s="76">
        <v>33628</v>
      </c>
      <c r="D7" s="70"/>
      <c r="E7" s="12">
        <f t="shared" si="2"/>
        <v>33628</v>
      </c>
      <c r="F7" s="76">
        <v>32515</v>
      </c>
      <c r="G7" s="19"/>
      <c r="H7" s="12">
        <f t="shared" si="3"/>
        <v>32515</v>
      </c>
      <c r="I7" s="76">
        <v>34071</v>
      </c>
      <c r="J7" s="70"/>
      <c r="K7" s="12">
        <f t="shared" ref="K7:K29" si="7">SUM(I7:J7)</f>
        <v>34071</v>
      </c>
      <c r="L7" s="65">
        <f t="shared" si="0"/>
        <v>1.0478548362294327</v>
      </c>
      <c r="M7" s="63"/>
      <c r="N7" s="17">
        <f t="shared" si="1"/>
        <v>1.0478548362294327</v>
      </c>
    </row>
    <row r="8" spans="1:14" s="45" customFormat="1" ht="17.25" customHeight="1" x14ac:dyDescent="0.2">
      <c r="A8" s="40"/>
      <c r="B8" s="111" t="s">
        <v>124</v>
      </c>
      <c r="C8" s="76">
        <v>11459</v>
      </c>
      <c r="D8" s="70"/>
      <c r="E8" s="12">
        <f t="shared" si="2"/>
        <v>11459</v>
      </c>
      <c r="F8" s="76"/>
      <c r="G8" s="19"/>
      <c r="H8" s="12"/>
      <c r="I8" s="76">
        <v>12861</v>
      </c>
      <c r="J8" s="70"/>
      <c r="K8" s="12">
        <f t="shared" si="7"/>
        <v>12861</v>
      </c>
      <c r="L8" s="65"/>
      <c r="M8" s="63"/>
      <c r="N8" s="17"/>
    </row>
    <row r="9" spans="1:14" s="41" customFormat="1" ht="17.25" customHeight="1" x14ac:dyDescent="0.2">
      <c r="A9" s="40">
        <v>3</v>
      </c>
      <c r="B9" s="112" t="s">
        <v>95</v>
      </c>
      <c r="C9" s="76">
        <v>2464</v>
      </c>
      <c r="D9" s="52"/>
      <c r="E9" s="12">
        <f t="shared" si="2"/>
        <v>2464</v>
      </c>
      <c r="F9" s="76">
        <v>2500</v>
      </c>
      <c r="G9" s="19"/>
      <c r="H9" s="12">
        <f t="shared" si="3"/>
        <v>2500</v>
      </c>
      <c r="I9" s="76">
        <v>2212</v>
      </c>
      <c r="J9" s="52"/>
      <c r="K9" s="12">
        <f t="shared" si="7"/>
        <v>2212</v>
      </c>
      <c r="L9" s="65">
        <f t="shared" si="0"/>
        <v>0.88480000000000003</v>
      </c>
      <c r="M9" s="63"/>
      <c r="N9" s="17">
        <f t="shared" si="1"/>
        <v>0.88480000000000003</v>
      </c>
    </row>
    <row r="10" spans="1:14" s="41" customFormat="1" ht="17.25" customHeight="1" x14ac:dyDescent="0.2">
      <c r="A10" s="40">
        <v>4</v>
      </c>
      <c r="B10" s="112" t="s">
        <v>96</v>
      </c>
      <c r="C10" s="76">
        <v>5215</v>
      </c>
      <c r="D10" s="52"/>
      <c r="E10" s="12">
        <f t="shared" si="2"/>
        <v>5215</v>
      </c>
      <c r="F10" s="76">
        <v>4800</v>
      </c>
      <c r="G10" s="19"/>
      <c r="H10" s="12">
        <f t="shared" si="3"/>
        <v>4800</v>
      </c>
      <c r="I10" s="76">
        <v>5555</v>
      </c>
      <c r="J10" s="52"/>
      <c r="K10" s="12">
        <f t="shared" si="7"/>
        <v>5555</v>
      </c>
      <c r="L10" s="65">
        <f t="shared" si="0"/>
        <v>1.1572916666666666</v>
      </c>
      <c r="M10" s="63"/>
      <c r="N10" s="17">
        <f t="shared" si="1"/>
        <v>1.1572916666666666</v>
      </c>
    </row>
    <row r="11" spans="1:14" s="41" customFormat="1" ht="17.25" customHeight="1" x14ac:dyDescent="0.2">
      <c r="A11" s="40"/>
      <c r="B11" s="112" t="s">
        <v>455</v>
      </c>
      <c r="C11" s="76"/>
      <c r="D11" s="52"/>
      <c r="E11" s="12"/>
      <c r="F11" s="76"/>
      <c r="G11" s="19"/>
      <c r="H11" s="12"/>
      <c r="I11" s="76">
        <v>1035</v>
      </c>
      <c r="J11" s="52"/>
      <c r="K11" s="12">
        <f t="shared" si="7"/>
        <v>1035</v>
      </c>
      <c r="L11" s="65"/>
      <c r="M11" s="63"/>
      <c r="N11" s="17"/>
    </row>
    <row r="12" spans="1:14" s="45" customFormat="1" ht="17.25" customHeight="1" x14ac:dyDescent="0.2">
      <c r="A12" s="40">
        <v>5</v>
      </c>
      <c r="B12" s="112" t="s">
        <v>22</v>
      </c>
      <c r="C12" s="76">
        <v>20650</v>
      </c>
      <c r="D12" s="70"/>
      <c r="E12" s="12">
        <f t="shared" si="2"/>
        <v>20650</v>
      </c>
      <c r="F12" s="76">
        <v>26396</v>
      </c>
      <c r="G12" s="19"/>
      <c r="H12" s="12">
        <f t="shared" si="3"/>
        <v>26396</v>
      </c>
      <c r="I12" s="76">
        <v>20814</v>
      </c>
      <c r="J12" s="70"/>
      <c r="K12" s="12">
        <f t="shared" si="7"/>
        <v>20814</v>
      </c>
      <c r="L12" s="65">
        <f t="shared" si="0"/>
        <v>0.78852856493408097</v>
      </c>
      <c r="M12" s="63"/>
      <c r="N12" s="17">
        <f t="shared" si="1"/>
        <v>0.78852856493408097</v>
      </c>
    </row>
    <row r="13" spans="1:14" s="45" customFormat="1" ht="17.25" customHeight="1" x14ac:dyDescent="0.2">
      <c r="A13" s="40"/>
      <c r="B13" s="112" t="s">
        <v>115</v>
      </c>
      <c r="C13" s="76">
        <v>11605</v>
      </c>
      <c r="D13" s="70"/>
      <c r="E13" s="12">
        <f t="shared" si="2"/>
        <v>11605</v>
      </c>
      <c r="F13" s="76"/>
      <c r="G13" s="19"/>
      <c r="H13" s="12">
        <f t="shared" si="3"/>
        <v>0</v>
      </c>
      <c r="I13" s="76">
        <v>10849</v>
      </c>
      <c r="J13" s="70"/>
      <c r="K13" s="12">
        <f t="shared" si="7"/>
        <v>10849</v>
      </c>
      <c r="L13" s="65"/>
      <c r="M13" s="63"/>
      <c r="N13" s="17"/>
    </row>
    <row r="14" spans="1:14" s="45" customFormat="1" ht="17.25" customHeight="1" x14ac:dyDescent="0.2">
      <c r="A14" s="40">
        <v>6</v>
      </c>
      <c r="B14" s="112" t="s">
        <v>23</v>
      </c>
      <c r="C14" s="76">
        <v>40316</v>
      </c>
      <c r="D14" s="70"/>
      <c r="E14" s="12">
        <f t="shared" si="2"/>
        <v>40316</v>
      </c>
      <c r="F14" s="76">
        <v>16748</v>
      </c>
      <c r="G14" s="19"/>
      <c r="H14" s="12">
        <f t="shared" si="3"/>
        <v>16748</v>
      </c>
      <c r="I14" s="76">
        <v>24918</v>
      </c>
      <c r="J14" s="70"/>
      <c r="K14" s="12">
        <f t="shared" si="7"/>
        <v>24918</v>
      </c>
      <c r="L14" s="65">
        <f t="shared" si="0"/>
        <v>1.4878194411272987</v>
      </c>
      <c r="M14" s="63"/>
      <c r="N14" s="17">
        <f t="shared" si="1"/>
        <v>1.4878194411272987</v>
      </c>
    </row>
    <row r="15" spans="1:14" s="45" customFormat="1" ht="17.25" customHeight="1" x14ac:dyDescent="0.2">
      <c r="A15" s="40">
        <v>7</v>
      </c>
      <c r="B15" s="112" t="s">
        <v>24</v>
      </c>
      <c r="C15" s="76">
        <v>7529</v>
      </c>
      <c r="D15" s="70"/>
      <c r="E15" s="12">
        <f t="shared" si="2"/>
        <v>7529</v>
      </c>
      <c r="F15" s="76"/>
      <c r="G15" s="19"/>
      <c r="H15" s="12">
        <f t="shared" si="3"/>
        <v>0</v>
      </c>
      <c r="I15" s="76">
        <v>6893</v>
      </c>
      <c r="J15" s="70"/>
      <c r="K15" s="12">
        <f t="shared" si="7"/>
        <v>6893</v>
      </c>
      <c r="L15" s="65"/>
      <c r="M15" s="63"/>
      <c r="N15" s="17"/>
    </row>
    <row r="16" spans="1:14" s="41" customFormat="1" ht="17.25" customHeight="1" x14ac:dyDescent="0.2">
      <c r="A16" s="40">
        <v>8</v>
      </c>
      <c r="B16" s="112" t="s">
        <v>25</v>
      </c>
      <c r="C16" s="76">
        <v>8357</v>
      </c>
      <c r="D16" s="52"/>
      <c r="E16" s="12">
        <f t="shared" si="2"/>
        <v>8357</v>
      </c>
      <c r="F16" s="76">
        <v>4315</v>
      </c>
      <c r="G16" s="19"/>
      <c r="H16" s="12">
        <f t="shared" si="3"/>
        <v>4315</v>
      </c>
      <c r="I16" s="76">
        <v>4315</v>
      </c>
      <c r="J16" s="52"/>
      <c r="K16" s="12">
        <f t="shared" si="7"/>
        <v>4315</v>
      </c>
      <c r="L16" s="65">
        <f t="shared" ref="L16:L23" si="8">I16/F16</f>
        <v>1</v>
      </c>
      <c r="M16" s="63"/>
      <c r="N16" s="17">
        <f>K16/H16</f>
        <v>1</v>
      </c>
    </row>
    <row r="17" spans="1:15" s="45" customFormat="1" ht="17.25" customHeight="1" x14ac:dyDescent="0.2">
      <c r="A17" s="40">
        <v>9</v>
      </c>
      <c r="B17" s="112" t="s">
        <v>44</v>
      </c>
      <c r="C17" s="76">
        <v>1867</v>
      </c>
      <c r="D17" s="70"/>
      <c r="E17" s="12">
        <f t="shared" si="2"/>
        <v>1867</v>
      </c>
      <c r="F17" s="76"/>
      <c r="G17" s="19"/>
      <c r="H17" s="12">
        <f t="shared" si="3"/>
        <v>0</v>
      </c>
      <c r="I17" s="76">
        <v>422</v>
      </c>
      <c r="J17" s="70"/>
      <c r="K17" s="12">
        <f t="shared" si="7"/>
        <v>422</v>
      </c>
      <c r="L17" s="65"/>
      <c r="M17" s="63"/>
      <c r="N17" s="17"/>
    </row>
    <row r="18" spans="1:15" s="45" customFormat="1" ht="17.25" customHeight="1" x14ac:dyDescent="0.2">
      <c r="A18" s="40"/>
      <c r="B18" s="112" t="s">
        <v>118</v>
      </c>
      <c r="C18" s="76">
        <v>364</v>
      </c>
      <c r="D18" s="19"/>
      <c r="E18" s="12">
        <f t="shared" si="2"/>
        <v>364</v>
      </c>
      <c r="F18" s="76"/>
      <c r="G18" s="70"/>
      <c r="H18" s="12">
        <f t="shared" si="3"/>
        <v>0</v>
      </c>
      <c r="I18" s="77"/>
      <c r="J18" s="19"/>
      <c r="K18" s="12">
        <f t="shared" si="7"/>
        <v>0</v>
      </c>
      <c r="L18" s="77"/>
      <c r="M18" s="70"/>
      <c r="N18" s="12">
        <f t="shared" ref="N18" si="9">SUM(L18:M18)</f>
        <v>0</v>
      </c>
      <c r="O18" s="26"/>
    </row>
    <row r="19" spans="1:15" s="26" customFormat="1" ht="17.25" customHeight="1" x14ac:dyDescent="0.2">
      <c r="A19" s="40">
        <v>10</v>
      </c>
      <c r="B19" s="113" t="s">
        <v>45</v>
      </c>
      <c r="C19" s="10">
        <f t="shared" ref="C19:E19" si="10">SUM(C3:C18)</f>
        <v>906020</v>
      </c>
      <c r="D19" s="11">
        <f t="shared" si="10"/>
        <v>7658</v>
      </c>
      <c r="E19" s="12">
        <f t="shared" si="10"/>
        <v>913678</v>
      </c>
      <c r="F19" s="10">
        <f t="shared" ref="F19:K19" si="11">SUM(F3:F18)</f>
        <v>915198</v>
      </c>
      <c r="G19" s="11">
        <f t="shared" si="11"/>
        <v>3984</v>
      </c>
      <c r="H19" s="12">
        <f>SUM(H3:H18)</f>
        <v>919182</v>
      </c>
      <c r="I19" s="13">
        <f t="shared" si="11"/>
        <v>894951</v>
      </c>
      <c r="J19" s="11">
        <f t="shared" si="11"/>
        <v>6931</v>
      </c>
      <c r="K19" s="12">
        <f t="shared" si="11"/>
        <v>901882</v>
      </c>
      <c r="L19" s="66">
        <f t="shared" si="8"/>
        <v>0.97787691843732172</v>
      </c>
      <c r="M19" s="16">
        <f>J19/G19</f>
        <v>1.7397088353413654</v>
      </c>
      <c r="N19" s="17">
        <f>K19/H19</f>
        <v>0.98117891777689292</v>
      </c>
      <c r="O19" s="45"/>
    </row>
    <row r="20" spans="1:15" s="45" customFormat="1" ht="17.25" customHeight="1" x14ac:dyDescent="0.2">
      <c r="A20" s="40">
        <v>11</v>
      </c>
      <c r="B20" s="112" t="s">
        <v>108</v>
      </c>
      <c r="C20" s="84">
        <v>25497</v>
      </c>
      <c r="D20" s="70"/>
      <c r="E20" s="12">
        <f t="shared" ref="E20:E29" si="12">SUM(C20:D20)</f>
        <v>25497</v>
      </c>
      <c r="F20" s="76">
        <v>27956</v>
      </c>
      <c r="G20" s="19"/>
      <c r="H20" s="12">
        <f t="shared" ref="H20:H29" si="13">SUM(F20:G20)</f>
        <v>27956</v>
      </c>
      <c r="I20" s="84">
        <v>25928</v>
      </c>
      <c r="J20" s="70"/>
      <c r="K20" s="12">
        <f t="shared" si="7"/>
        <v>25928</v>
      </c>
      <c r="L20" s="65">
        <f t="shared" si="8"/>
        <v>0.9274574331091715</v>
      </c>
      <c r="M20" s="63"/>
      <c r="N20" s="17">
        <f>K20/H20</f>
        <v>0.9274574331091715</v>
      </c>
    </row>
    <row r="21" spans="1:15" s="45" customFormat="1" ht="17.25" customHeight="1" x14ac:dyDescent="0.2">
      <c r="A21" s="40"/>
      <c r="B21" s="112" t="s">
        <v>117</v>
      </c>
      <c r="C21" s="84"/>
      <c r="D21" s="70"/>
      <c r="E21" s="12">
        <f t="shared" si="12"/>
        <v>0</v>
      </c>
      <c r="F21" s="76"/>
      <c r="G21" s="19"/>
      <c r="H21" s="12"/>
      <c r="I21" s="84"/>
      <c r="J21" s="70"/>
      <c r="K21" s="12">
        <f t="shared" si="7"/>
        <v>0</v>
      </c>
      <c r="L21" s="65"/>
      <c r="M21" s="63"/>
      <c r="N21" s="17"/>
    </row>
    <row r="22" spans="1:15" s="45" customFormat="1" ht="17.25" customHeight="1" x14ac:dyDescent="0.2">
      <c r="A22" s="40">
        <v>12</v>
      </c>
      <c r="B22" s="112" t="s">
        <v>26</v>
      </c>
      <c r="C22" s="84">
        <v>996</v>
      </c>
      <c r="D22" s="70"/>
      <c r="E22" s="12">
        <f t="shared" si="12"/>
        <v>996</v>
      </c>
      <c r="F22" s="76">
        <v>1923</v>
      </c>
      <c r="G22" s="19"/>
      <c r="H22" s="12">
        <f t="shared" si="13"/>
        <v>1923</v>
      </c>
      <c r="I22" s="84">
        <v>953</v>
      </c>
      <c r="J22" s="70"/>
      <c r="K22" s="12">
        <f t="shared" si="7"/>
        <v>953</v>
      </c>
      <c r="L22" s="65">
        <f t="shared" si="8"/>
        <v>0.4955798231929277</v>
      </c>
      <c r="M22" s="63"/>
      <c r="N22" s="17">
        <f>K22/H22</f>
        <v>0.4955798231929277</v>
      </c>
    </row>
    <row r="23" spans="1:15" s="45" customFormat="1" ht="17.25" customHeight="1" x14ac:dyDescent="0.2">
      <c r="A23" s="40">
        <v>13</v>
      </c>
      <c r="B23" s="112" t="s">
        <v>27</v>
      </c>
      <c r="C23" s="84">
        <v>6502</v>
      </c>
      <c r="D23" s="70"/>
      <c r="E23" s="12">
        <f t="shared" si="12"/>
        <v>6502</v>
      </c>
      <c r="F23" s="76">
        <v>8000</v>
      </c>
      <c r="G23" s="19"/>
      <c r="H23" s="12">
        <f t="shared" si="13"/>
        <v>8000</v>
      </c>
      <c r="I23" s="84">
        <v>7615</v>
      </c>
      <c r="J23" s="70"/>
      <c r="K23" s="12">
        <f t="shared" si="7"/>
        <v>7615</v>
      </c>
      <c r="L23" s="65">
        <f t="shared" si="8"/>
        <v>0.95187500000000003</v>
      </c>
      <c r="M23" s="63"/>
      <c r="N23" s="17">
        <f>K23/H23</f>
        <v>0.95187500000000003</v>
      </c>
    </row>
    <row r="24" spans="1:15" s="41" customFormat="1" ht="17.25" customHeight="1" x14ac:dyDescent="0.2">
      <c r="A24" s="40">
        <v>14</v>
      </c>
      <c r="B24" s="112" t="s">
        <v>28</v>
      </c>
      <c r="C24" s="76"/>
      <c r="D24" s="52"/>
      <c r="E24" s="12">
        <f t="shared" si="12"/>
        <v>0</v>
      </c>
      <c r="F24" s="76"/>
      <c r="G24" s="19"/>
      <c r="H24" s="12">
        <f t="shared" si="13"/>
        <v>0</v>
      </c>
      <c r="I24" s="76"/>
      <c r="J24" s="52"/>
      <c r="K24" s="12">
        <f t="shared" si="7"/>
        <v>0</v>
      </c>
      <c r="L24" s="65"/>
      <c r="M24" s="63"/>
      <c r="N24" s="17"/>
      <c r="O24" s="45"/>
    </row>
    <row r="25" spans="1:15" s="45" customFormat="1" ht="17.25" customHeight="1" x14ac:dyDescent="0.2">
      <c r="A25" s="40">
        <v>15</v>
      </c>
      <c r="B25" s="112" t="s">
        <v>29</v>
      </c>
      <c r="C25" s="84">
        <v>4525</v>
      </c>
      <c r="D25" s="70"/>
      <c r="E25" s="12">
        <f t="shared" si="12"/>
        <v>4525</v>
      </c>
      <c r="F25" s="76">
        <v>4600</v>
      </c>
      <c r="G25" s="19"/>
      <c r="H25" s="12">
        <f t="shared" si="13"/>
        <v>4600</v>
      </c>
      <c r="I25" s="84">
        <v>4746</v>
      </c>
      <c r="J25" s="70"/>
      <c r="K25" s="12">
        <f t="shared" si="7"/>
        <v>4746</v>
      </c>
      <c r="L25" s="65">
        <f>I25/F25</f>
        <v>1.0317391304347827</v>
      </c>
      <c r="M25" s="63"/>
      <c r="N25" s="17">
        <f>K25/H25</f>
        <v>1.0317391304347827</v>
      </c>
    </row>
    <row r="26" spans="1:15" s="45" customFormat="1" ht="17.25" customHeight="1" x14ac:dyDescent="0.2">
      <c r="A26" s="40">
        <v>16</v>
      </c>
      <c r="B26" s="112" t="s">
        <v>102</v>
      </c>
      <c r="C26" s="76"/>
      <c r="D26" s="70">
        <v>1680</v>
      </c>
      <c r="E26" s="12">
        <f t="shared" si="12"/>
        <v>1680</v>
      </c>
      <c r="F26" s="76">
        <v>0</v>
      </c>
      <c r="G26" s="70">
        <v>1680</v>
      </c>
      <c r="H26" s="12">
        <f t="shared" si="13"/>
        <v>1680</v>
      </c>
      <c r="I26" s="76"/>
      <c r="J26" s="70">
        <v>1890</v>
      </c>
      <c r="K26" s="12">
        <f t="shared" si="7"/>
        <v>1890</v>
      </c>
      <c r="L26" s="65"/>
      <c r="M26" s="63">
        <f>J26/G26</f>
        <v>1.125</v>
      </c>
      <c r="N26" s="17">
        <f>K26/H26</f>
        <v>1.125</v>
      </c>
    </row>
    <row r="27" spans="1:15" s="45" customFormat="1" ht="17.25" customHeight="1" x14ac:dyDescent="0.2">
      <c r="A27" s="40">
        <v>17</v>
      </c>
      <c r="B27" s="112" t="s">
        <v>91</v>
      </c>
      <c r="C27" s="76">
        <v>2189</v>
      </c>
      <c r="D27" s="70"/>
      <c r="E27" s="12">
        <f t="shared" si="12"/>
        <v>2189</v>
      </c>
      <c r="F27" s="76"/>
      <c r="G27" s="19"/>
      <c r="H27" s="12">
        <f t="shared" si="13"/>
        <v>0</v>
      </c>
      <c r="I27" s="76">
        <v>1878</v>
      </c>
      <c r="J27" s="70"/>
      <c r="K27" s="12">
        <f t="shared" si="7"/>
        <v>1878</v>
      </c>
      <c r="L27" s="65"/>
      <c r="M27" s="63"/>
      <c r="N27" s="17"/>
    </row>
    <row r="28" spans="1:15" s="45" customFormat="1" ht="17.25" customHeight="1" x14ac:dyDescent="0.2">
      <c r="A28" s="40">
        <v>18</v>
      </c>
      <c r="B28" s="111" t="s">
        <v>101</v>
      </c>
      <c r="C28" s="84">
        <v>1934</v>
      </c>
      <c r="D28" s="70"/>
      <c r="E28" s="12">
        <f t="shared" si="12"/>
        <v>1934</v>
      </c>
      <c r="F28" s="76">
        <v>2000</v>
      </c>
      <c r="G28" s="52"/>
      <c r="H28" s="12">
        <f t="shared" si="13"/>
        <v>2000</v>
      </c>
      <c r="I28" s="84">
        <v>1802</v>
      </c>
      <c r="J28" s="70"/>
      <c r="K28" s="12">
        <f t="shared" si="7"/>
        <v>1802</v>
      </c>
      <c r="L28" s="65">
        <f>I28/F28</f>
        <v>0.90100000000000002</v>
      </c>
      <c r="M28" s="63"/>
      <c r="N28" s="17">
        <f>K28/H28</f>
        <v>0.90100000000000002</v>
      </c>
    </row>
    <row r="29" spans="1:15" s="45" customFormat="1" ht="17.25" customHeight="1" x14ac:dyDescent="0.2">
      <c r="A29" s="40">
        <v>19</v>
      </c>
      <c r="B29" s="114" t="s">
        <v>47</v>
      </c>
      <c r="C29" s="84">
        <v>910</v>
      </c>
      <c r="D29" s="70"/>
      <c r="E29" s="12">
        <f t="shared" si="12"/>
        <v>910</v>
      </c>
      <c r="F29" s="76"/>
      <c r="G29" s="27"/>
      <c r="H29" s="12">
        <f t="shared" si="13"/>
        <v>0</v>
      </c>
      <c r="I29" s="84">
        <v>913</v>
      </c>
      <c r="J29" s="70"/>
      <c r="K29" s="12">
        <f t="shared" si="7"/>
        <v>913</v>
      </c>
      <c r="L29" s="65"/>
      <c r="M29" s="63"/>
      <c r="N29" s="17"/>
      <c r="O29" s="26"/>
    </row>
    <row r="30" spans="1:15" s="26" customFormat="1" ht="17.25" customHeight="1" x14ac:dyDescent="0.2">
      <c r="A30" s="40">
        <v>20</v>
      </c>
      <c r="B30" s="9" t="s">
        <v>46</v>
      </c>
      <c r="C30" s="10">
        <f t="shared" ref="C30:E30" si="14">SUM(C20:C29)</f>
        <v>42553</v>
      </c>
      <c r="D30" s="11">
        <f t="shared" si="14"/>
        <v>1680</v>
      </c>
      <c r="E30" s="12">
        <f t="shared" si="14"/>
        <v>44233</v>
      </c>
      <c r="F30" s="10">
        <f t="shared" ref="F30:K30" si="15">SUM(F20:F29)</f>
        <v>44479</v>
      </c>
      <c r="G30" s="11">
        <f t="shared" si="15"/>
        <v>1680</v>
      </c>
      <c r="H30" s="12">
        <f t="shared" si="15"/>
        <v>46159</v>
      </c>
      <c r="I30" s="10">
        <f t="shared" si="15"/>
        <v>43835</v>
      </c>
      <c r="J30" s="11">
        <f t="shared" si="15"/>
        <v>1890</v>
      </c>
      <c r="K30" s="12">
        <f t="shared" si="15"/>
        <v>45725</v>
      </c>
      <c r="L30" s="66">
        <f>I30/F30</f>
        <v>0.98552125722250949</v>
      </c>
      <c r="M30" s="16"/>
      <c r="N30" s="17">
        <f>K30/H30</f>
        <v>0.9905977165883143</v>
      </c>
      <c r="O30" s="62"/>
    </row>
    <row r="31" spans="1:15" s="62" customFormat="1" ht="17.25" customHeight="1" x14ac:dyDescent="0.2">
      <c r="A31" s="40">
        <v>21</v>
      </c>
      <c r="B31" s="9" t="s">
        <v>30</v>
      </c>
      <c r="C31" s="10">
        <f t="shared" ref="C31:E31" si="16">SUM(C30,C19)</f>
        <v>948573</v>
      </c>
      <c r="D31" s="11">
        <f t="shared" si="16"/>
        <v>9338</v>
      </c>
      <c r="E31" s="12">
        <f t="shared" si="16"/>
        <v>957911</v>
      </c>
      <c r="F31" s="10">
        <f t="shared" ref="F31:K31" si="17">SUM(F30,F19)</f>
        <v>959677</v>
      </c>
      <c r="G31" s="11">
        <f t="shared" si="17"/>
        <v>5664</v>
      </c>
      <c r="H31" s="12">
        <f t="shared" si="17"/>
        <v>965341</v>
      </c>
      <c r="I31" s="13">
        <f t="shared" si="17"/>
        <v>938786</v>
      </c>
      <c r="J31" s="11">
        <f t="shared" si="17"/>
        <v>8821</v>
      </c>
      <c r="K31" s="12">
        <f t="shared" si="17"/>
        <v>947607</v>
      </c>
      <c r="L31" s="66">
        <f>I31/F31</f>
        <v>0.97823121737834706</v>
      </c>
      <c r="M31" s="16">
        <f>J31/G31</f>
        <v>1.5573799435028248</v>
      </c>
      <c r="N31" s="17">
        <f>K31/H31</f>
        <v>0.98162928954638828</v>
      </c>
    </row>
    <row r="32" spans="1:15" s="62" customFormat="1" ht="17.25" customHeight="1" x14ac:dyDescent="0.2">
      <c r="A32" s="40">
        <v>22</v>
      </c>
      <c r="B32" s="115" t="s">
        <v>110</v>
      </c>
      <c r="C32" s="271">
        <v>228063</v>
      </c>
      <c r="D32" s="98"/>
      <c r="E32" s="94">
        <f t="shared" ref="E32:E39" si="18">SUM(C32:D32)</f>
        <v>228063</v>
      </c>
      <c r="F32" s="96">
        <v>235442</v>
      </c>
      <c r="G32" s="70"/>
      <c r="H32" s="12">
        <f>SUM(F32:G32)</f>
        <v>235442</v>
      </c>
      <c r="I32" s="97">
        <v>222675</v>
      </c>
      <c r="J32" s="98"/>
      <c r="K32" s="94">
        <f t="shared" ref="K32:K39" si="19">SUM(I32:J32)</f>
        <v>222675</v>
      </c>
      <c r="L32" s="65">
        <f>I32/F32</f>
        <v>0.94577433083307139</v>
      </c>
      <c r="M32" s="63"/>
      <c r="N32" s="17">
        <f>K32/H32</f>
        <v>0.94577433083307139</v>
      </c>
    </row>
    <row r="33" spans="1:15" s="62" customFormat="1" ht="17.25" customHeight="1" x14ac:dyDescent="0.2">
      <c r="A33" s="40"/>
      <c r="B33" s="115" t="s">
        <v>121</v>
      </c>
      <c r="C33" s="271">
        <v>5167</v>
      </c>
      <c r="D33" s="98"/>
      <c r="E33" s="94">
        <f t="shared" si="18"/>
        <v>5167</v>
      </c>
      <c r="F33" s="96">
        <v>6000</v>
      </c>
      <c r="G33" s="110"/>
      <c r="H33" s="12">
        <f>SUM(F33:G33)</f>
        <v>6000</v>
      </c>
      <c r="I33" s="97">
        <v>5166</v>
      </c>
      <c r="J33" s="98"/>
      <c r="K33" s="94">
        <f t="shared" si="19"/>
        <v>5166</v>
      </c>
      <c r="L33" s="65">
        <f t="shared" ref="L33:L37" si="20">I33/F33</f>
        <v>0.86099999999999999</v>
      </c>
      <c r="M33" s="63"/>
      <c r="N33" s="17">
        <f t="shared" ref="N33:N37" si="21">K33/H33</f>
        <v>0.86099999999999999</v>
      </c>
    </row>
    <row r="34" spans="1:15" s="62" customFormat="1" ht="17.25" customHeight="1" x14ac:dyDescent="0.2">
      <c r="A34" s="40"/>
      <c r="B34" s="115" t="s">
        <v>125</v>
      </c>
      <c r="C34" s="271"/>
      <c r="D34" s="98"/>
      <c r="E34" s="94">
        <f t="shared" si="18"/>
        <v>0</v>
      </c>
      <c r="F34" s="96"/>
      <c r="G34" s="110"/>
      <c r="H34" s="12"/>
      <c r="I34" s="97"/>
      <c r="J34" s="98">
        <v>10</v>
      </c>
      <c r="K34" s="94">
        <f t="shared" si="19"/>
        <v>10</v>
      </c>
      <c r="L34" s="65"/>
      <c r="M34" s="63"/>
      <c r="N34" s="17"/>
    </row>
    <row r="35" spans="1:15" s="41" customFormat="1" ht="17.25" customHeight="1" x14ac:dyDescent="0.2">
      <c r="A35" s="40">
        <v>28</v>
      </c>
      <c r="B35" s="115" t="s">
        <v>31</v>
      </c>
      <c r="C35" s="99">
        <v>3149</v>
      </c>
      <c r="D35" s="100"/>
      <c r="E35" s="94">
        <f t="shared" si="18"/>
        <v>3149</v>
      </c>
      <c r="F35" s="76">
        <v>3000</v>
      </c>
      <c r="G35" s="27"/>
      <c r="H35" s="12">
        <f t="shared" ref="H35:H39" si="22">SUM(F35:G35)</f>
        <v>3000</v>
      </c>
      <c r="I35" s="99">
        <v>2969</v>
      </c>
      <c r="J35" s="100"/>
      <c r="K35" s="94">
        <f t="shared" si="19"/>
        <v>2969</v>
      </c>
      <c r="L35" s="65">
        <f t="shared" si="20"/>
        <v>0.98966666666666669</v>
      </c>
      <c r="M35" s="63"/>
      <c r="N35" s="17">
        <f t="shared" si="21"/>
        <v>0.98966666666666669</v>
      </c>
      <c r="O35" s="45"/>
    </row>
    <row r="36" spans="1:15" s="45" customFormat="1" ht="17.25" customHeight="1" x14ac:dyDescent="0.2">
      <c r="A36" s="40">
        <v>29</v>
      </c>
      <c r="B36" s="115" t="s">
        <v>32</v>
      </c>
      <c r="C36" s="99">
        <v>4678</v>
      </c>
      <c r="D36" s="101"/>
      <c r="E36" s="94">
        <f t="shared" si="18"/>
        <v>4678</v>
      </c>
      <c r="F36" s="76">
        <v>5000</v>
      </c>
      <c r="G36" s="27"/>
      <c r="H36" s="12">
        <f t="shared" si="22"/>
        <v>5000</v>
      </c>
      <c r="I36" s="99">
        <v>7002</v>
      </c>
      <c r="J36" s="101"/>
      <c r="K36" s="94">
        <f t="shared" si="19"/>
        <v>7002</v>
      </c>
      <c r="L36" s="65">
        <f t="shared" si="20"/>
        <v>1.4004000000000001</v>
      </c>
      <c r="M36" s="63"/>
      <c r="N36" s="17">
        <f t="shared" si="21"/>
        <v>1.4004000000000001</v>
      </c>
    </row>
    <row r="37" spans="1:15" s="45" customFormat="1" ht="17.25" customHeight="1" x14ac:dyDescent="0.2">
      <c r="A37" s="40">
        <v>30</v>
      </c>
      <c r="B37" s="115" t="s">
        <v>33</v>
      </c>
      <c r="C37" s="102">
        <v>5360</v>
      </c>
      <c r="D37" s="101"/>
      <c r="E37" s="94">
        <f t="shared" si="18"/>
        <v>5360</v>
      </c>
      <c r="F37" s="76">
        <v>6500</v>
      </c>
      <c r="G37" s="27"/>
      <c r="H37" s="12">
        <f t="shared" si="22"/>
        <v>6500</v>
      </c>
      <c r="I37" s="102">
        <v>5404</v>
      </c>
      <c r="J37" s="101"/>
      <c r="K37" s="94">
        <f t="shared" si="19"/>
        <v>5404</v>
      </c>
      <c r="L37" s="65">
        <f t="shared" si="20"/>
        <v>0.83138461538461539</v>
      </c>
      <c r="M37" s="63"/>
      <c r="N37" s="17">
        <f t="shared" si="21"/>
        <v>0.83138461538461539</v>
      </c>
    </row>
    <row r="38" spans="1:15" s="45" customFormat="1" ht="17.25" customHeight="1" x14ac:dyDescent="0.2">
      <c r="A38" s="40">
        <v>31</v>
      </c>
      <c r="B38" s="116" t="s">
        <v>104</v>
      </c>
      <c r="C38" s="103">
        <v>76</v>
      </c>
      <c r="D38" s="101"/>
      <c r="E38" s="104">
        <f t="shared" si="18"/>
        <v>76</v>
      </c>
      <c r="F38" s="121"/>
      <c r="G38" s="27"/>
      <c r="H38" s="12">
        <f t="shared" si="22"/>
        <v>0</v>
      </c>
      <c r="I38" s="103">
        <v>7</v>
      </c>
      <c r="J38" s="101"/>
      <c r="K38" s="104">
        <f t="shared" si="19"/>
        <v>7</v>
      </c>
      <c r="L38" s="65"/>
      <c r="M38" s="63"/>
      <c r="N38" s="17"/>
    </row>
    <row r="39" spans="1:15" s="45" customFormat="1" ht="17.25" customHeight="1" x14ac:dyDescent="0.2">
      <c r="A39" s="40">
        <v>32</v>
      </c>
      <c r="B39" s="116" t="s">
        <v>109</v>
      </c>
      <c r="C39" s="103">
        <v>289</v>
      </c>
      <c r="D39" s="101"/>
      <c r="E39" s="104">
        <f t="shared" si="18"/>
        <v>289</v>
      </c>
      <c r="F39" s="121">
        <v>400</v>
      </c>
      <c r="G39" s="27"/>
      <c r="H39" s="12">
        <f t="shared" si="22"/>
        <v>400</v>
      </c>
      <c r="I39" s="103">
        <v>274</v>
      </c>
      <c r="J39" s="101"/>
      <c r="K39" s="104">
        <f t="shared" si="19"/>
        <v>274</v>
      </c>
      <c r="L39" s="65">
        <f t="shared" ref="L39" si="23">I39/F39</f>
        <v>0.68500000000000005</v>
      </c>
      <c r="M39" s="63"/>
      <c r="N39" s="17">
        <f t="shared" ref="N39" si="24">K39/H39</f>
        <v>0.68500000000000005</v>
      </c>
      <c r="O39" s="26"/>
    </row>
    <row r="40" spans="1:15" s="26" customFormat="1" ht="17.25" customHeight="1" x14ac:dyDescent="0.2">
      <c r="A40" s="40">
        <v>33</v>
      </c>
      <c r="B40" s="117" t="s">
        <v>48</v>
      </c>
      <c r="C40" s="95">
        <f t="shared" ref="C40:E40" si="25">SUM(C32:C39)</f>
        <v>246782</v>
      </c>
      <c r="D40" s="11">
        <f t="shared" si="25"/>
        <v>0</v>
      </c>
      <c r="E40" s="78">
        <f t="shared" si="25"/>
        <v>246782</v>
      </c>
      <c r="F40" s="95">
        <f t="shared" ref="F40:K40" si="26">SUM(F32:F39)</f>
        <v>256342</v>
      </c>
      <c r="G40" s="11">
        <f t="shared" si="26"/>
        <v>0</v>
      </c>
      <c r="H40" s="78">
        <f t="shared" si="26"/>
        <v>256342</v>
      </c>
      <c r="I40" s="95">
        <f t="shared" si="26"/>
        <v>243497</v>
      </c>
      <c r="J40" s="11">
        <f t="shared" si="26"/>
        <v>10</v>
      </c>
      <c r="K40" s="78">
        <f t="shared" si="26"/>
        <v>243507</v>
      </c>
      <c r="L40" s="66">
        <f>I40/F40</f>
        <v>0.94989116102706539</v>
      </c>
      <c r="M40" s="16"/>
      <c r="N40" s="17">
        <f>K40/H40</f>
        <v>0.94993017141162983</v>
      </c>
    </row>
    <row r="41" spans="1:15" s="26" customFormat="1" ht="17.25" customHeight="1" thickBot="1" x14ac:dyDescent="0.25">
      <c r="A41" s="43">
        <v>34</v>
      </c>
      <c r="B41" s="29" t="s">
        <v>49</v>
      </c>
      <c r="C41" s="79">
        <f t="shared" ref="C41:E41" si="27">C31+C40</f>
        <v>1195355</v>
      </c>
      <c r="D41" s="30">
        <f t="shared" si="27"/>
        <v>9338</v>
      </c>
      <c r="E41" s="80">
        <f t="shared" si="27"/>
        <v>1204693</v>
      </c>
      <c r="F41" s="79">
        <f t="shared" ref="F41:K41" si="28">F31+F40</f>
        <v>1216019</v>
      </c>
      <c r="G41" s="30">
        <f t="shared" si="28"/>
        <v>5664</v>
      </c>
      <c r="H41" s="80">
        <f t="shared" si="28"/>
        <v>1221683</v>
      </c>
      <c r="I41" s="57">
        <f t="shared" si="28"/>
        <v>1182283</v>
      </c>
      <c r="J41" s="30">
        <f t="shared" si="28"/>
        <v>8831</v>
      </c>
      <c r="K41" s="80">
        <f t="shared" si="28"/>
        <v>1191114</v>
      </c>
      <c r="L41" s="67">
        <f>I41/F41</f>
        <v>0.97225701243154916</v>
      </c>
      <c r="M41" s="32">
        <f>J41/G41</f>
        <v>1.5591454802259888</v>
      </c>
      <c r="N41" s="33">
        <f>K41/H41</f>
        <v>0.97497796073122078</v>
      </c>
      <c r="O41" s="8"/>
    </row>
    <row r="47" spans="1:15" ht="16.5" customHeight="1" x14ac:dyDescent="0.2">
      <c r="F47" s="49"/>
      <c r="G47" s="49"/>
      <c r="H47" s="49"/>
      <c r="I47" s="49"/>
      <c r="J47" s="49"/>
    </row>
    <row r="48" spans="1:15" ht="16.5" customHeight="1" x14ac:dyDescent="0.2">
      <c r="F48" s="49"/>
      <c r="G48" s="49"/>
      <c r="H48" s="49"/>
      <c r="I48" s="49"/>
      <c r="J48" s="49"/>
    </row>
    <row r="49" spans="6:10" ht="16.5" customHeight="1" x14ac:dyDescent="0.2">
      <c r="F49" s="128"/>
      <c r="G49" s="128"/>
      <c r="H49" s="128"/>
      <c r="I49" s="128"/>
      <c r="J49" s="128"/>
    </row>
    <row r="50" spans="6:10" ht="16.5" customHeight="1" x14ac:dyDescent="0.2">
      <c r="F50" s="49"/>
      <c r="G50" s="49"/>
      <c r="H50" s="49"/>
      <c r="I50" s="49"/>
      <c r="J50" s="49"/>
    </row>
    <row r="51" spans="6:10" ht="16.5" customHeight="1" x14ac:dyDescent="0.2">
      <c r="F51" s="49"/>
      <c r="G51" s="49"/>
      <c r="H51" s="49"/>
      <c r="I51" s="49"/>
      <c r="J51" s="49"/>
    </row>
    <row r="52" spans="6:10" ht="16.5" customHeight="1" x14ac:dyDescent="0.2">
      <c r="F52" s="49"/>
      <c r="G52" s="49"/>
      <c r="H52" s="49"/>
      <c r="I52" s="49"/>
      <c r="J52" s="49"/>
    </row>
    <row r="53" spans="6:10" ht="16.5" customHeight="1" x14ac:dyDescent="0.2">
      <c r="F53" s="128"/>
      <c r="G53" s="128"/>
      <c r="H53" s="128"/>
      <c r="I53" s="128"/>
      <c r="J53" s="128"/>
    </row>
  </sheetData>
  <mergeCells count="5">
    <mergeCell ref="F1:H1"/>
    <mergeCell ref="I1:K1"/>
    <mergeCell ref="L1:N1"/>
    <mergeCell ref="A1:B2"/>
    <mergeCell ref="C1:E1"/>
  </mergeCells>
  <phoneticPr fontId="0" type="noConversion"/>
  <conditionalFormatting sqref="B32:E39 C1:E41 F1:N1048576">
    <cfRule type="cellIs" dxfId="5" priority="37" stopIfTrue="1" operator="equal">
      <formula>0</formula>
    </cfRule>
  </conditionalFormatting>
  <printOptions horizontalCentered="1" verticalCentered="1"/>
  <pageMargins left="0" right="0" top="0.6692913385826772" bottom="0.31496062992125984" header="0.31496062992125984" footer="0.15748031496062992"/>
  <pageSetup paperSize="9" scale="68" orientation="landscape" r:id="rId1"/>
  <headerFooter alignWithMargins="0">
    <oddHeader>&amp;CXIII. Kerületi Egészségügy Szolgálat Nonprofit Kft.
2015. évi bérköltsége kifizetési jogcímenkénti bontásban
(adatok e Ft-ban)&amp;R7. sz. melléklet</oddHeader>
    <oddFooter>&amp;L&amp;D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H8" sqref="H8"/>
    </sheetView>
  </sheetViews>
  <sheetFormatPr defaultRowHeight="21" customHeight="1" x14ac:dyDescent="0.2"/>
  <cols>
    <col min="1" max="1" width="3.7109375" style="3" customWidth="1"/>
    <col min="2" max="2" width="38.7109375" style="8" customWidth="1"/>
    <col min="3" max="4" width="17.7109375" style="8" customWidth="1"/>
    <col min="5" max="5" width="17.7109375" style="49" customWidth="1"/>
    <col min="6" max="6" width="17.7109375" style="50" customWidth="1"/>
    <col min="7" max="16384" width="9.140625" style="8"/>
  </cols>
  <sheetData>
    <row r="1" spans="1:6" ht="42" customHeight="1" x14ac:dyDescent="0.2">
      <c r="A1" s="504" t="s">
        <v>0</v>
      </c>
      <c r="B1" s="534"/>
      <c r="C1" s="382" t="s">
        <v>458</v>
      </c>
      <c r="D1" s="127" t="s">
        <v>123</v>
      </c>
      <c r="E1" s="382" t="s">
        <v>459</v>
      </c>
      <c r="F1" s="85" t="s">
        <v>460</v>
      </c>
    </row>
    <row r="2" spans="1:6" ht="21" customHeight="1" x14ac:dyDescent="0.2">
      <c r="A2" s="46">
        <v>1</v>
      </c>
      <c r="B2" s="47" t="s">
        <v>50</v>
      </c>
      <c r="C2" s="70">
        <v>165338</v>
      </c>
      <c r="D2" s="19">
        <v>160000</v>
      </c>
      <c r="E2" s="70">
        <v>163568</v>
      </c>
      <c r="F2" s="22">
        <f t="shared" ref="F2:F8" si="0">E2/D2</f>
        <v>1.0223</v>
      </c>
    </row>
    <row r="3" spans="1:6" ht="21" customHeight="1" x14ac:dyDescent="0.2">
      <c r="A3" s="46">
        <v>2</v>
      </c>
      <c r="B3" s="47" t="s">
        <v>51</v>
      </c>
      <c r="C3" s="70">
        <v>10619</v>
      </c>
      <c r="D3" s="19">
        <v>13000</v>
      </c>
      <c r="E3" s="70">
        <v>10615</v>
      </c>
      <c r="F3" s="22">
        <f t="shared" si="0"/>
        <v>0.81653846153846155</v>
      </c>
    </row>
    <row r="4" spans="1:6" ht="21" customHeight="1" x14ac:dyDescent="0.2">
      <c r="A4" s="46">
        <v>3</v>
      </c>
      <c r="B4" s="47" t="s">
        <v>52</v>
      </c>
      <c r="C4" s="83">
        <v>8862</v>
      </c>
      <c r="D4" s="19">
        <v>10000</v>
      </c>
      <c r="E4" s="83">
        <v>9015</v>
      </c>
      <c r="F4" s="22">
        <f t="shared" si="0"/>
        <v>0.90149999999999997</v>
      </c>
    </row>
    <row r="5" spans="1:6" ht="21" customHeight="1" x14ac:dyDescent="0.2">
      <c r="A5" s="46">
        <v>4</v>
      </c>
      <c r="B5" s="47" t="s">
        <v>53</v>
      </c>
      <c r="C5" s="19">
        <v>2448</v>
      </c>
      <c r="D5" s="19">
        <v>2500</v>
      </c>
      <c r="E5" s="19">
        <v>1964</v>
      </c>
      <c r="F5" s="22">
        <f t="shared" si="0"/>
        <v>0.78559999999999997</v>
      </c>
    </row>
    <row r="6" spans="1:6" ht="21" customHeight="1" x14ac:dyDescent="0.2">
      <c r="A6" s="46">
        <v>5</v>
      </c>
      <c r="B6" s="47" t="s">
        <v>54</v>
      </c>
      <c r="C6" s="83">
        <v>535</v>
      </c>
      <c r="D6" s="19">
        <v>1000</v>
      </c>
      <c r="E6" s="83">
        <v>947</v>
      </c>
      <c r="F6" s="22">
        <f t="shared" si="0"/>
        <v>0.94699999999999995</v>
      </c>
    </row>
    <row r="7" spans="1:6" ht="21" customHeight="1" x14ac:dyDescent="0.2">
      <c r="A7" s="46">
        <v>6</v>
      </c>
      <c r="B7" s="47" t="s">
        <v>55</v>
      </c>
      <c r="C7" s="19">
        <v>2191</v>
      </c>
      <c r="D7" s="19">
        <v>2500</v>
      </c>
      <c r="E7" s="19">
        <v>3022</v>
      </c>
      <c r="F7" s="22">
        <f t="shared" si="0"/>
        <v>1.2088000000000001</v>
      </c>
    </row>
    <row r="8" spans="1:6" s="26" customFormat="1" ht="21" customHeight="1" x14ac:dyDescent="0.2">
      <c r="A8" s="6">
        <v>7</v>
      </c>
      <c r="B8" s="48" t="s">
        <v>3</v>
      </c>
      <c r="C8" s="11">
        <f>SUM(C2:C7)</f>
        <v>189993</v>
      </c>
      <c r="D8" s="11">
        <f>SUM(D2:D7)</f>
        <v>189000</v>
      </c>
      <c r="E8" s="11">
        <f>SUM(E2:E7)</f>
        <v>189131</v>
      </c>
      <c r="F8" s="16">
        <f t="shared" si="0"/>
        <v>1.0006931216931216</v>
      </c>
    </row>
  </sheetData>
  <mergeCells count="1">
    <mergeCell ref="A1:B1"/>
  </mergeCells>
  <phoneticPr fontId="0" type="noConversion"/>
  <conditionalFormatting sqref="A1:XFD1048576">
    <cfRule type="cellIs" dxfId="4" priority="4" stopIfTrue="1" operator="equal">
      <formula>0</formula>
    </cfRule>
  </conditionalFormatting>
  <printOptions horizontalCentered="1"/>
  <pageMargins left="0.78740157480314965" right="0.78740157480314965" top="1.7716535433070868" bottom="0.98425196850393704" header="0.51181102362204722" footer="0.51181102362204722"/>
  <pageSetup paperSize="9" orientation="landscape" r:id="rId1"/>
  <headerFooter alignWithMargins="0">
    <oddHeader>&amp;CXIII. Kerületi Egészségügyi Szolgálat Nonprofit Kft.
2015. évi anyagköltsége&amp;R8. sz. melléklet</oddHeader>
    <oddFooter>&amp;L&amp;D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zoomScale="90" zoomScaleNormal="90" workbookViewId="0">
      <selection activeCell="G1" sqref="G1"/>
    </sheetView>
  </sheetViews>
  <sheetFormatPr defaultRowHeight="21" customHeight="1" x14ac:dyDescent="0.2"/>
  <cols>
    <col min="1" max="1" width="3.7109375" style="3" customWidth="1"/>
    <col min="2" max="2" width="70.28515625" style="8" customWidth="1"/>
    <col min="3" max="3" width="17.7109375" style="8" customWidth="1"/>
    <col min="4" max="5" width="17.7109375" style="49" customWidth="1"/>
    <col min="6" max="6" width="17.7109375" style="55" customWidth="1"/>
    <col min="7" max="16384" width="9.140625" style="8"/>
  </cols>
  <sheetData>
    <row r="1" spans="1:6" ht="42" customHeight="1" x14ac:dyDescent="0.2">
      <c r="A1" s="499" t="s">
        <v>0</v>
      </c>
      <c r="B1" s="499"/>
      <c r="C1" s="382" t="s">
        <v>458</v>
      </c>
      <c r="D1" s="127" t="s">
        <v>123</v>
      </c>
      <c r="E1" s="382" t="s">
        <v>459</v>
      </c>
      <c r="F1" s="85" t="s">
        <v>460</v>
      </c>
    </row>
    <row r="2" spans="1:6" ht="19.5" customHeight="1" x14ac:dyDescent="0.2">
      <c r="A2" s="46">
        <v>1</v>
      </c>
      <c r="B2" s="47" t="s">
        <v>56</v>
      </c>
      <c r="C2" s="70">
        <v>58214</v>
      </c>
      <c r="D2" s="19">
        <v>60000</v>
      </c>
      <c r="E2" s="70">
        <v>52320</v>
      </c>
      <c r="F2" s="22">
        <f t="shared" ref="F2:F22" si="0">E2/D2</f>
        <v>0.872</v>
      </c>
    </row>
    <row r="3" spans="1:6" ht="19.5" customHeight="1" x14ac:dyDescent="0.2">
      <c r="A3" s="46">
        <v>2</v>
      </c>
      <c r="B3" s="47" t="s">
        <v>57</v>
      </c>
      <c r="C3" s="19">
        <v>9101</v>
      </c>
      <c r="D3" s="19">
        <v>9000</v>
      </c>
      <c r="E3" s="19">
        <v>6603</v>
      </c>
      <c r="F3" s="22">
        <f t="shared" si="0"/>
        <v>0.73366666666666669</v>
      </c>
    </row>
    <row r="4" spans="1:6" ht="19.5" customHeight="1" x14ac:dyDescent="0.2">
      <c r="A4" s="46">
        <v>3</v>
      </c>
      <c r="B4" s="47" t="s">
        <v>113</v>
      </c>
      <c r="C4" s="19">
        <v>23568</v>
      </c>
      <c r="D4" s="19">
        <v>22000</v>
      </c>
      <c r="E4" s="19">
        <v>23548</v>
      </c>
      <c r="F4" s="22">
        <f t="shared" si="0"/>
        <v>1.0703636363636364</v>
      </c>
    </row>
    <row r="5" spans="1:6" ht="19.5" customHeight="1" x14ac:dyDescent="0.2">
      <c r="A5" s="46">
        <v>4</v>
      </c>
      <c r="B5" s="47" t="s">
        <v>58</v>
      </c>
      <c r="C5" s="19">
        <v>56011</v>
      </c>
      <c r="D5" s="19">
        <v>52000</v>
      </c>
      <c r="E5" s="19">
        <v>61153</v>
      </c>
      <c r="F5" s="22">
        <f t="shared" si="0"/>
        <v>1.1760192307692308</v>
      </c>
    </row>
    <row r="6" spans="1:6" ht="19.5" customHeight="1" x14ac:dyDescent="0.2">
      <c r="A6" s="46"/>
      <c r="B6" s="51" t="s">
        <v>119</v>
      </c>
      <c r="C6" s="92">
        <v>4699</v>
      </c>
      <c r="D6" s="52">
        <v>3600</v>
      </c>
      <c r="E6" s="92">
        <v>5112</v>
      </c>
      <c r="F6" s="53">
        <f t="shared" si="0"/>
        <v>1.42</v>
      </c>
    </row>
    <row r="7" spans="1:6" ht="19.5" customHeight="1" x14ac:dyDescent="0.2">
      <c r="A7" s="46"/>
      <c r="B7" s="54" t="s">
        <v>34</v>
      </c>
      <c r="C7" s="92">
        <v>17029</v>
      </c>
      <c r="D7" s="52">
        <v>15360</v>
      </c>
      <c r="E7" s="92">
        <v>17714</v>
      </c>
      <c r="F7" s="53">
        <f t="shared" si="0"/>
        <v>1.1532552083333334</v>
      </c>
    </row>
    <row r="8" spans="1:6" ht="19.5" customHeight="1" x14ac:dyDescent="0.2">
      <c r="A8" s="46"/>
      <c r="B8" s="54" t="s">
        <v>35</v>
      </c>
      <c r="C8" s="92">
        <v>1956</v>
      </c>
      <c r="D8" s="52">
        <v>2280</v>
      </c>
      <c r="E8" s="92">
        <v>1847</v>
      </c>
      <c r="F8" s="53">
        <f t="shared" si="0"/>
        <v>0.81008771929824563</v>
      </c>
    </row>
    <row r="9" spans="1:6" ht="19.5" customHeight="1" x14ac:dyDescent="0.2">
      <c r="A9" s="46"/>
      <c r="B9" s="54" t="s">
        <v>112</v>
      </c>
      <c r="C9" s="92">
        <v>9013</v>
      </c>
      <c r="D9" s="52">
        <v>9000</v>
      </c>
      <c r="E9" s="92">
        <v>11043</v>
      </c>
      <c r="F9" s="53">
        <f t="shared" si="0"/>
        <v>1.2270000000000001</v>
      </c>
    </row>
    <row r="10" spans="1:6" ht="19.5" customHeight="1" x14ac:dyDescent="0.2">
      <c r="A10" s="123">
        <v>5</v>
      </c>
      <c r="B10" s="126" t="s">
        <v>120</v>
      </c>
      <c r="C10" s="98">
        <v>96996</v>
      </c>
      <c r="D10" s="19">
        <v>98015</v>
      </c>
      <c r="E10" s="98">
        <v>98016</v>
      </c>
      <c r="F10" s="53">
        <f t="shared" si="0"/>
        <v>1.0000102025200224</v>
      </c>
    </row>
    <row r="11" spans="1:6" ht="19.5" customHeight="1" x14ac:dyDescent="0.2">
      <c r="A11" s="123">
        <v>6</v>
      </c>
      <c r="B11" s="47" t="s">
        <v>36</v>
      </c>
      <c r="C11" s="70">
        <v>68759</v>
      </c>
      <c r="D11" s="19">
        <v>69000</v>
      </c>
      <c r="E11" s="70">
        <v>72503</v>
      </c>
      <c r="F11" s="22">
        <f t="shared" si="0"/>
        <v>1.050768115942029</v>
      </c>
    </row>
    <row r="12" spans="1:6" ht="19.5" customHeight="1" x14ac:dyDescent="0.2">
      <c r="A12" s="123">
        <v>7</v>
      </c>
      <c r="B12" s="47" t="s">
        <v>37</v>
      </c>
      <c r="C12" s="19">
        <v>18693</v>
      </c>
      <c r="D12" s="19">
        <v>23000</v>
      </c>
      <c r="E12" s="19">
        <v>16984</v>
      </c>
      <c r="F12" s="22">
        <f t="shared" si="0"/>
        <v>0.73843478260869566</v>
      </c>
    </row>
    <row r="13" spans="1:6" ht="19.5" customHeight="1" x14ac:dyDescent="0.2">
      <c r="A13" s="123">
        <v>8</v>
      </c>
      <c r="B13" s="47" t="s">
        <v>38</v>
      </c>
      <c r="C13" s="70">
        <v>840</v>
      </c>
      <c r="D13" s="19">
        <v>1000</v>
      </c>
      <c r="E13" s="70">
        <v>750</v>
      </c>
      <c r="F13" s="22">
        <f t="shared" si="0"/>
        <v>0.75</v>
      </c>
    </row>
    <row r="14" spans="1:6" ht="19.5" customHeight="1" x14ac:dyDescent="0.2">
      <c r="A14" s="123">
        <v>9</v>
      </c>
      <c r="B14" s="2" t="s">
        <v>59</v>
      </c>
      <c r="C14" s="70">
        <v>1006</v>
      </c>
      <c r="D14" s="19">
        <v>1000</v>
      </c>
      <c r="E14" s="70">
        <v>956</v>
      </c>
      <c r="F14" s="22">
        <f t="shared" si="0"/>
        <v>0.95599999999999996</v>
      </c>
    </row>
    <row r="15" spans="1:6" ht="19.5" customHeight="1" x14ac:dyDescent="0.2">
      <c r="A15" s="123">
        <v>10</v>
      </c>
      <c r="B15" s="47" t="s">
        <v>39</v>
      </c>
      <c r="C15" s="70">
        <v>754</v>
      </c>
      <c r="D15" s="19">
        <v>700</v>
      </c>
      <c r="E15" s="70">
        <v>612</v>
      </c>
      <c r="F15" s="22">
        <f t="shared" si="0"/>
        <v>0.87428571428571433</v>
      </c>
    </row>
    <row r="16" spans="1:6" ht="19.5" customHeight="1" x14ac:dyDescent="0.2">
      <c r="A16" s="123">
        <v>11</v>
      </c>
      <c r="B16" s="47" t="s">
        <v>40</v>
      </c>
      <c r="C16" s="70">
        <v>5901</v>
      </c>
      <c r="D16" s="19">
        <v>6000</v>
      </c>
      <c r="E16" s="70">
        <v>5845</v>
      </c>
      <c r="F16" s="22">
        <f t="shared" si="0"/>
        <v>0.97416666666666663</v>
      </c>
    </row>
    <row r="17" spans="1:6" ht="19.5" customHeight="1" x14ac:dyDescent="0.2">
      <c r="A17" s="123">
        <v>12</v>
      </c>
      <c r="B17" s="47" t="s">
        <v>41</v>
      </c>
      <c r="C17" s="19"/>
      <c r="D17" s="19"/>
      <c r="E17" s="19"/>
      <c r="F17" s="22"/>
    </row>
    <row r="18" spans="1:6" ht="19.5" customHeight="1" x14ac:dyDescent="0.2">
      <c r="A18" s="123">
        <v>13</v>
      </c>
      <c r="B18" s="47" t="s">
        <v>92</v>
      </c>
      <c r="C18" s="19">
        <v>16651</v>
      </c>
      <c r="D18" s="19">
        <v>6500</v>
      </c>
      <c r="E18" s="19">
        <v>11978</v>
      </c>
      <c r="F18" s="22">
        <f t="shared" si="0"/>
        <v>1.8427692307692307</v>
      </c>
    </row>
    <row r="19" spans="1:6" ht="19.5" customHeight="1" x14ac:dyDescent="0.2">
      <c r="A19" s="122"/>
      <c r="B19" s="47" t="s">
        <v>116</v>
      </c>
      <c r="C19" s="19">
        <v>4641</v>
      </c>
      <c r="D19" s="19">
        <v>5300</v>
      </c>
      <c r="E19" s="19">
        <v>4715</v>
      </c>
      <c r="F19" s="22">
        <f t="shared" si="0"/>
        <v>0.88962264150943393</v>
      </c>
    </row>
    <row r="20" spans="1:6" ht="27.75" customHeight="1" x14ac:dyDescent="0.2">
      <c r="A20" s="46">
        <v>15</v>
      </c>
      <c r="B20" s="2" t="s">
        <v>93</v>
      </c>
      <c r="C20" s="19">
        <v>10256</v>
      </c>
      <c r="D20" s="19">
        <v>10000</v>
      </c>
      <c r="E20" s="19">
        <v>9211</v>
      </c>
      <c r="F20" s="22">
        <f t="shared" si="0"/>
        <v>0.92110000000000003</v>
      </c>
    </row>
    <row r="21" spans="1:6" s="26" customFormat="1" ht="19.5" customHeight="1" x14ac:dyDescent="0.2">
      <c r="A21" s="46">
        <v>15</v>
      </c>
      <c r="B21" s="48" t="s">
        <v>60</v>
      </c>
      <c r="C21" s="11">
        <f>SUM(C10:C20,C2:C5)</f>
        <v>371391</v>
      </c>
      <c r="D21" s="11">
        <f>SUM(D10:D20,D2:D5)</f>
        <v>363515</v>
      </c>
      <c r="E21" s="11">
        <f>SUM(E10:E20,E2:E5)</f>
        <v>365194</v>
      </c>
      <c r="F21" s="16">
        <f>E21/D21</f>
        <v>1.0046187915216704</v>
      </c>
    </row>
    <row r="22" spans="1:6" ht="19.5" customHeight="1" x14ac:dyDescent="0.2">
      <c r="A22" s="46">
        <v>16</v>
      </c>
      <c r="B22" s="68" t="s">
        <v>61</v>
      </c>
      <c r="C22" s="70">
        <v>7930</v>
      </c>
      <c r="D22" s="19">
        <v>8000</v>
      </c>
      <c r="E22" s="70">
        <v>7094</v>
      </c>
      <c r="F22" s="22">
        <f t="shared" si="0"/>
        <v>0.88675000000000004</v>
      </c>
    </row>
    <row r="23" spans="1:6" ht="19.5" customHeight="1" x14ac:dyDescent="0.2">
      <c r="A23" s="46">
        <v>17</v>
      </c>
      <c r="B23" s="48" t="s">
        <v>3</v>
      </c>
      <c r="C23" s="11">
        <f>SUM(C21:C22)</f>
        <v>379321</v>
      </c>
      <c r="D23" s="11">
        <f>SUM(D21:D22)</f>
        <v>371515</v>
      </c>
      <c r="E23" s="11">
        <f>SUM(E21:E22)</f>
        <v>372288</v>
      </c>
      <c r="F23" s="16">
        <f>E23/D23</f>
        <v>1.0020806696903222</v>
      </c>
    </row>
    <row r="24" spans="1:6" ht="19.5" customHeight="1" x14ac:dyDescent="0.2"/>
  </sheetData>
  <mergeCells count="1">
    <mergeCell ref="A1:B1"/>
  </mergeCells>
  <phoneticPr fontId="0" type="noConversion"/>
  <conditionalFormatting sqref="A1:XFD1048576">
    <cfRule type="cellIs" dxfId="3" priority="8" stopIfTrue="1" operator="equal">
      <formula>0</formula>
    </cfRule>
  </conditionalFormatting>
  <printOptions horizontalCentered="1" verticalCentered="1"/>
  <pageMargins left="0" right="0" top="0.78740157480314965" bottom="0.39370078740157483" header="0.31496062992125984" footer="0.11811023622047245"/>
  <pageSetup paperSize="9" orientation="landscape" r:id="rId1"/>
  <headerFooter alignWithMargins="0">
    <oddHeader>&amp;CXIII. Kerületi Egészségügyi Szolgálat Nonprofit Kft.
2015. évi szolgáltatásai
&amp;R9. sz. melléklet</oddHeader>
    <oddFooter>&amp;L&amp;D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zoomScale="90" zoomScaleNormal="90" workbookViewId="0">
      <selection activeCell="G5" sqref="G5"/>
    </sheetView>
  </sheetViews>
  <sheetFormatPr defaultRowHeight="21" customHeight="1" x14ac:dyDescent="0.2"/>
  <cols>
    <col min="1" max="1" width="3.7109375" style="3" customWidth="1"/>
    <col min="2" max="2" width="47.42578125" style="8" customWidth="1"/>
    <col min="3" max="3" width="17.7109375" style="8" customWidth="1"/>
    <col min="4" max="5" width="17.7109375" style="49" customWidth="1"/>
    <col min="6" max="6" width="17.7109375" style="55" customWidth="1"/>
    <col min="7" max="16384" width="9.140625" style="8"/>
  </cols>
  <sheetData>
    <row r="1" spans="1:6" s="3" customFormat="1" ht="42" customHeight="1" x14ac:dyDescent="0.2">
      <c r="A1" s="499" t="s">
        <v>0</v>
      </c>
      <c r="B1" s="499"/>
      <c r="C1" s="382" t="s">
        <v>458</v>
      </c>
      <c r="D1" s="127" t="s">
        <v>123</v>
      </c>
      <c r="E1" s="382" t="s">
        <v>459</v>
      </c>
      <c r="F1" s="85" t="s">
        <v>460</v>
      </c>
    </row>
    <row r="2" spans="1:6" ht="21" customHeight="1" x14ac:dyDescent="0.2">
      <c r="A2" s="46">
        <v>1</v>
      </c>
      <c r="B2" s="47" t="s">
        <v>62</v>
      </c>
      <c r="C2" s="19">
        <v>2356</v>
      </c>
      <c r="D2" s="19">
        <v>2400</v>
      </c>
      <c r="E2" s="19">
        <v>2465</v>
      </c>
      <c r="F2" s="22">
        <f>E2/D2</f>
        <v>1.0270833333333333</v>
      </c>
    </row>
    <row r="3" spans="1:6" ht="21" customHeight="1" x14ac:dyDescent="0.2">
      <c r="A3" s="46">
        <v>2</v>
      </c>
      <c r="B3" s="47" t="s">
        <v>64</v>
      </c>
      <c r="C3" s="19">
        <v>1600</v>
      </c>
      <c r="D3" s="19">
        <v>2000</v>
      </c>
      <c r="E3" s="19">
        <v>1562</v>
      </c>
      <c r="F3" s="22">
        <f>E3/D3</f>
        <v>0.78100000000000003</v>
      </c>
    </row>
    <row r="4" spans="1:6" ht="21" customHeight="1" x14ac:dyDescent="0.2">
      <c r="A4" s="46">
        <v>3</v>
      </c>
      <c r="B4" s="47" t="s">
        <v>103</v>
      </c>
      <c r="C4" s="19"/>
      <c r="D4" s="19">
        <v>500</v>
      </c>
      <c r="E4" s="19"/>
      <c r="F4" s="22">
        <f>E4/D4</f>
        <v>0</v>
      </c>
    </row>
    <row r="5" spans="1:6" ht="21" customHeight="1" x14ac:dyDescent="0.2">
      <c r="A5" s="46">
        <v>4</v>
      </c>
      <c r="B5" s="47" t="s">
        <v>63</v>
      </c>
      <c r="C5" s="19">
        <v>7708</v>
      </c>
      <c r="D5" s="19">
        <v>7000</v>
      </c>
      <c r="E5" s="19">
        <v>14553</v>
      </c>
      <c r="F5" s="22">
        <f>E5/D5</f>
        <v>2.0790000000000002</v>
      </c>
    </row>
    <row r="6" spans="1:6" s="26" customFormat="1" ht="21" customHeight="1" x14ac:dyDescent="0.2">
      <c r="A6" s="6"/>
      <c r="B6" s="48" t="s">
        <v>3</v>
      </c>
      <c r="C6" s="11">
        <f>SUM(C2:C5)</f>
        <v>11664</v>
      </c>
      <c r="D6" s="11">
        <f>SUM(D2:D5)</f>
        <v>11900</v>
      </c>
      <c r="E6" s="11">
        <f>SUM(E2:E5)</f>
        <v>18580</v>
      </c>
      <c r="F6" s="16">
        <f>E6/D6</f>
        <v>1.5613445378151261</v>
      </c>
    </row>
  </sheetData>
  <mergeCells count="1">
    <mergeCell ref="A1:B1"/>
  </mergeCells>
  <phoneticPr fontId="0" type="noConversion"/>
  <conditionalFormatting sqref="A1:A6 B1:C3 B5:C6 C1:F6">
    <cfRule type="cellIs" dxfId="2" priority="9" stopIfTrue="1" operator="equal">
      <formula>0</formula>
    </cfRule>
  </conditionalFormatting>
  <printOptions horizontalCentered="1"/>
  <pageMargins left="0" right="0" top="1.7716535433070868" bottom="0.98425196850393704" header="0.51181102362204722" footer="0.51181102362204722"/>
  <pageSetup paperSize="9" orientation="landscape" r:id="rId1"/>
  <headerFooter alignWithMargins="0">
    <oddHeader>&amp;CXIII. Kerületi Egészségügyi Szolgálat Nonprofit Kft.
2015. évi egyéb működési költségei
&amp;R10. sz. melléklet</oddHeader>
    <oddFooter>&amp;L&amp;D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J24" sqref="J24"/>
    </sheetView>
  </sheetViews>
  <sheetFormatPr defaultRowHeight="19.5" customHeight="1" x14ac:dyDescent="0.2"/>
  <cols>
    <col min="1" max="1" width="36.7109375" style="8" customWidth="1"/>
    <col min="2" max="2" width="16.7109375" style="8" customWidth="1"/>
    <col min="3" max="3" width="16.7109375" style="49" customWidth="1"/>
    <col min="4" max="4" width="16.7109375" style="8" customWidth="1"/>
    <col min="5" max="5" width="18.28515625" style="3" customWidth="1"/>
    <col min="6" max="6" width="12" style="8" customWidth="1"/>
    <col min="7" max="16384" width="9.140625" style="8"/>
  </cols>
  <sheetData>
    <row r="1" spans="1:6" ht="41.25" customHeight="1" x14ac:dyDescent="0.2">
      <c r="A1" s="24" t="s">
        <v>0</v>
      </c>
      <c r="B1" s="382" t="s">
        <v>458</v>
      </c>
      <c r="C1" s="127" t="s">
        <v>123</v>
      </c>
      <c r="D1" s="382" t="s">
        <v>459</v>
      </c>
      <c r="E1" s="85" t="s">
        <v>460</v>
      </c>
      <c r="F1" s="91"/>
    </row>
    <row r="2" spans="1:6" ht="19.5" customHeight="1" x14ac:dyDescent="0.2">
      <c r="A2" s="24" t="s">
        <v>65</v>
      </c>
      <c r="B2" s="19">
        <f>'7'!E19</f>
        <v>913678</v>
      </c>
      <c r="C2" s="19">
        <f>'7'!H19</f>
        <v>919182</v>
      </c>
      <c r="D2" s="19">
        <f>'7'!K19</f>
        <v>901882</v>
      </c>
      <c r="E2" s="22">
        <f>D2/C2</f>
        <v>0.98117891777689292</v>
      </c>
      <c r="F2" s="73"/>
    </row>
    <row r="3" spans="1:6" ht="19.5" customHeight="1" x14ac:dyDescent="0.2">
      <c r="A3" s="24" t="s">
        <v>66</v>
      </c>
      <c r="B3" s="19">
        <f>'7'!E30</f>
        <v>44233</v>
      </c>
      <c r="C3" s="19">
        <f>'7'!H30</f>
        <v>46159</v>
      </c>
      <c r="D3" s="19">
        <f>'7'!K30</f>
        <v>45725</v>
      </c>
      <c r="E3" s="22">
        <f t="shared" ref="E3:E10" si="0">D3/C3</f>
        <v>0.9905977165883143</v>
      </c>
      <c r="F3" s="73"/>
    </row>
    <row r="4" spans="1:6" ht="19.5" customHeight="1" x14ac:dyDescent="0.2">
      <c r="A4" s="24" t="s">
        <v>67</v>
      </c>
      <c r="B4" s="19">
        <f>'7'!E40</f>
        <v>246782</v>
      </c>
      <c r="C4" s="19">
        <f>'7'!H40</f>
        <v>256342</v>
      </c>
      <c r="D4" s="19">
        <f>'7'!K40</f>
        <v>243507</v>
      </c>
      <c r="E4" s="22">
        <f t="shared" si="0"/>
        <v>0.94993017141162983</v>
      </c>
      <c r="F4" s="73"/>
    </row>
    <row r="5" spans="1:6" ht="19.5" customHeight="1" x14ac:dyDescent="0.2">
      <c r="A5" s="24" t="s">
        <v>68</v>
      </c>
      <c r="B5" s="19">
        <f>'8'!C8</f>
        <v>189993</v>
      </c>
      <c r="C5" s="19">
        <f>'8'!D8</f>
        <v>189000</v>
      </c>
      <c r="D5" s="19">
        <f>'8'!E8</f>
        <v>189131</v>
      </c>
      <c r="E5" s="22">
        <f t="shared" si="0"/>
        <v>1.0006931216931216</v>
      </c>
      <c r="F5" s="73"/>
    </row>
    <row r="6" spans="1:6" ht="19.5" customHeight="1" x14ac:dyDescent="0.2">
      <c r="A6" s="24" t="s">
        <v>69</v>
      </c>
      <c r="B6" s="19">
        <f>'9'!C21</f>
        <v>371391</v>
      </c>
      <c r="C6" s="19">
        <f>'9'!D21</f>
        <v>363515</v>
      </c>
      <c r="D6" s="19">
        <f>'9'!E21</f>
        <v>365194</v>
      </c>
      <c r="E6" s="22">
        <f t="shared" si="0"/>
        <v>1.0046187915216704</v>
      </c>
      <c r="F6" s="73"/>
    </row>
    <row r="7" spans="1:6" ht="19.5" customHeight="1" x14ac:dyDescent="0.2">
      <c r="A7" s="24" t="s">
        <v>70</v>
      </c>
      <c r="B7" s="19">
        <f>'9'!C22</f>
        <v>7930</v>
      </c>
      <c r="C7" s="19">
        <f>'9'!D22</f>
        <v>8000</v>
      </c>
      <c r="D7" s="19">
        <f>'9'!E22</f>
        <v>7094</v>
      </c>
      <c r="E7" s="22">
        <f t="shared" si="0"/>
        <v>0.88675000000000004</v>
      </c>
      <c r="F7" s="73"/>
    </row>
    <row r="8" spans="1:6" ht="19.5" customHeight="1" x14ac:dyDescent="0.2">
      <c r="A8" s="24" t="s">
        <v>71</v>
      </c>
      <c r="B8" s="19">
        <f>'10'!C6</f>
        <v>11664</v>
      </c>
      <c r="C8" s="19">
        <f>'10'!D6</f>
        <v>11900</v>
      </c>
      <c r="D8" s="19">
        <f>'10'!E6</f>
        <v>18580</v>
      </c>
      <c r="E8" s="22">
        <f t="shared" si="0"/>
        <v>1.5613445378151261</v>
      </c>
      <c r="F8" s="73"/>
    </row>
    <row r="9" spans="1:6" ht="19.5" customHeight="1" x14ac:dyDescent="0.2">
      <c r="A9" s="24" t="s">
        <v>72</v>
      </c>
      <c r="B9" s="70">
        <v>128405</v>
      </c>
      <c r="C9" s="19">
        <v>125000</v>
      </c>
      <c r="D9" s="70">
        <v>112301</v>
      </c>
      <c r="E9" s="22">
        <f t="shared" si="0"/>
        <v>0.89840799999999998</v>
      </c>
      <c r="F9" s="73"/>
    </row>
    <row r="10" spans="1:6" ht="19.5" customHeight="1" x14ac:dyDescent="0.2">
      <c r="A10" s="42" t="s">
        <v>73</v>
      </c>
      <c r="B10" s="11">
        <f>SUM(B2:B9)</f>
        <v>1914076</v>
      </c>
      <c r="C10" s="11">
        <f>SUM(C2:C9)</f>
        <v>1919098</v>
      </c>
      <c r="D10" s="11">
        <f>SUM(D2:D9)</f>
        <v>1883414</v>
      </c>
      <c r="E10" s="16">
        <f t="shared" si="0"/>
        <v>0.98140584795565422</v>
      </c>
      <c r="F10" s="74"/>
    </row>
    <row r="11" spans="1:6" ht="9" customHeight="1" x14ac:dyDescent="0.2">
      <c r="A11" s="69"/>
      <c r="F11" s="73"/>
    </row>
    <row r="12" spans="1:6" ht="19.5" customHeight="1" x14ac:dyDescent="0.2">
      <c r="A12" s="24" t="s">
        <v>74</v>
      </c>
      <c r="B12" s="70">
        <f>'5'!C3</f>
        <v>1438719</v>
      </c>
      <c r="C12" s="70">
        <f>'5'!F3</f>
        <v>1464098</v>
      </c>
      <c r="D12" s="70">
        <f>'5'!I3</f>
        <v>1460847</v>
      </c>
      <c r="E12" s="22">
        <f>D12/C12</f>
        <v>0.99777952022337302</v>
      </c>
      <c r="F12" s="75"/>
    </row>
    <row r="13" spans="1:6" ht="19.5" customHeight="1" x14ac:dyDescent="0.2">
      <c r="A13" s="71" t="s">
        <v>75</v>
      </c>
      <c r="B13" s="19">
        <f>'5'!C4</f>
        <v>716035</v>
      </c>
      <c r="C13" s="19">
        <f>'5'!F4</f>
        <v>736098</v>
      </c>
      <c r="D13" s="19">
        <f>'5'!I4</f>
        <v>724262</v>
      </c>
      <c r="E13" s="22">
        <f t="shared" ref="E13:E40" si="1">D13/C13</f>
        <v>0.98392061926536956</v>
      </c>
      <c r="F13" s="73"/>
    </row>
    <row r="14" spans="1:6" ht="19.5" customHeight="1" x14ac:dyDescent="0.2">
      <c r="A14" s="71" t="s">
        <v>94</v>
      </c>
      <c r="B14" s="19">
        <f>'5'!C5</f>
        <v>88540</v>
      </c>
      <c r="C14" s="19">
        <f>'5'!F5</f>
        <v>90000</v>
      </c>
      <c r="D14" s="19">
        <f>'5'!I5</f>
        <v>87085</v>
      </c>
      <c r="E14" s="22">
        <f t="shared" si="1"/>
        <v>0.96761111111111109</v>
      </c>
      <c r="F14" s="73"/>
    </row>
    <row r="15" spans="1:6" ht="19.5" customHeight="1" x14ac:dyDescent="0.2">
      <c r="A15" s="71" t="s">
        <v>76</v>
      </c>
      <c r="B15" s="19">
        <f>'5'!C7</f>
        <v>147934</v>
      </c>
      <c r="C15" s="19">
        <f>'5'!F7</f>
        <v>150000</v>
      </c>
      <c r="D15" s="19">
        <f>'5'!I7</f>
        <v>151303</v>
      </c>
      <c r="E15" s="22">
        <f t="shared" si="1"/>
        <v>1.0086866666666667</v>
      </c>
      <c r="F15" s="73"/>
    </row>
    <row r="16" spans="1:6" ht="19.5" customHeight="1" x14ac:dyDescent="0.2">
      <c r="A16" s="71" t="s">
        <v>77</v>
      </c>
      <c r="B16" s="19">
        <f>'5'!C8</f>
        <v>70842</v>
      </c>
      <c r="C16" s="19">
        <f>'5'!F8</f>
        <v>70000</v>
      </c>
      <c r="D16" s="19">
        <f>'5'!I8</f>
        <v>71586</v>
      </c>
      <c r="E16" s="22">
        <f t="shared" si="1"/>
        <v>1.0226571428571429</v>
      </c>
      <c r="F16" s="73"/>
    </row>
    <row r="17" spans="1:6" ht="19.5" customHeight="1" x14ac:dyDescent="0.2">
      <c r="A17" s="71" t="s">
        <v>78</v>
      </c>
      <c r="B17" s="19">
        <f>'5'!C9</f>
        <v>17842</v>
      </c>
      <c r="C17" s="19">
        <f>'5'!F9</f>
        <v>18500</v>
      </c>
      <c r="D17" s="19">
        <f>'5'!I9</f>
        <v>18056</v>
      </c>
      <c r="E17" s="22">
        <f t="shared" si="1"/>
        <v>0.97599999999999998</v>
      </c>
      <c r="F17" s="73"/>
    </row>
    <row r="18" spans="1:6" ht="19.5" customHeight="1" x14ac:dyDescent="0.2">
      <c r="A18" s="71" t="s">
        <v>107</v>
      </c>
      <c r="B18" s="19">
        <f>'5'!C10</f>
        <v>5586</v>
      </c>
      <c r="C18" s="19">
        <f>'5'!F10</f>
        <v>5500</v>
      </c>
      <c r="D18" s="19">
        <f>'5'!I10</f>
        <v>5223</v>
      </c>
      <c r="E18" s="22">
        <f t="shared" si="1"/>
        <v>0.94963636363636361</v>
      </c>
      <c r="F18" s="73"/>
    </row>
    <row r="19" spans="1:6" ht="19.5" customHeight="1" x14ac:dyDescent="0.2">
      <c r="A19" s="71" t="s">
        <v>127</v>
      </c>
      <c r="B19" s="19">
        <f>'5'!C11</f>
        <v>0</v>
      </c>
      <c r="C19" s="19"/>
      <c r="D19" s="19">
        <f>'5'!I11</f>
        <v>4590</v>
      </c>
      <c r="E19" s="22"/>
      <c r="F19" s="73"/>
    </row>
    <row r="20" spans="1:6" ht="19.5" customHeight="1" x14ac:dyDescent="0.2">
      <c r="A20" s="71" t="s">
        <v>79</v>
      </c>
      <c r="B20" s="19">
        <f>'5'!C12</f>
        <v>9263</v>
      </c>
      <c r="C20" s="19">
        <f>'5'!F12</f>
        <v>10000</v>
      </c>
      <c r="D20" s="19">
        <f>'5'!I12</f>
        <v>9129</v>
      </c>
      <c r="E20" s="22">
        <f t="shared" si="1"/>
        <v>0.91290000000000004</v>
      </c>
      <c r="F20" s="73"/>
    </row>
    <row r="21" spans="1:6" ht="19.5" customHeight="1" x14ac:dyDescent="0.2">
      <c r="A21" s="71" t="s">
        <v>80</v>
      </c>
      <c r="B21" s="19">
        <f>'5'!C13</f>
        <v>190526</v>
      </c>
      <c r="C21" s="19">
        <f>'5'!F13</f>
        <v>190000</v>
      </c>
      <c r="D21" s="19">
        <f>'5'!I13</f>
        <v>195897</v>
      </c>
      <c r="E21" s="22">
        <f t="shared" si="1"/>
        <v>1.0310368421052631</v>
      </c>
      <c r="F21" s="73"/>
    </row>
    <row r="22" spans="1:6" ht="19.5" customHeight="1" x14ac:dyDescent="0.2">
      <c r="A22" s="71" t="s">
        <v>81</v>
      </c>
      <c r="B22" s="19">
        <f>'5'!C14</f>
        <v>37451</v>
      </c>
      <c r="C22" s="19">
        <f>'5'!F14</f>
        <v>36000</v>
      </c>
      <c r="D22" s="19">
        <f>'5'!I14</f>
        <v>36787</v>
      </c>
      <c r="E22" s="22">
        <f t="shared" si="1"/>
        <v>1.0218611111111111</v>
      </c>
      <c r="F22" s="73"/>
    </row>
    <row r="23" spans="1:6" ht="19.5" customHeight="1" x14ac:dyDescent="0.2">
      <c r="A23" s="72" t="s">
        <v>82</v>
      </c>
      <c r="B23" s="19">
        <f>'5'!D3</f>
        <v>37487</v>
      </c>
      <c r="C23" s="19">
        <f>'5'!G3</f>
        <v>41500</v>
      </c>
      <c r="D23" s="19">
        <f>'5'!J3</f>
        <v>30094</v>
      </c>
      <c r="E23" s="22">
        <f t="shared" si="1"/>
        <v>0.72515662650602408</v>
      </c>
      <c r="F23" s="73"/>
    </row>
    <row r="24" spans="1:6" ht="19.5" customHeight="1" x14ac:dyDescent="0.2">
      <c r="A24" s="71" t="s">
        <v>75</v>
      </c>
      <c r="B24" s="19">
        <f>'5'!D4</f>
        <v>5728</v>
      </c>
      <c r="C24" s="19">
        <f>'5'!G4</f>
        <v>8000</v>
      </c>
      <c r="D24" s="19">
        <f>'5'!J4</f>
        <v>5037</v>
      </c>
      <c r="E24" s="22">
        <f t="shared" si="1"/>
        <v>0.62962499999999999</v>
      </c>
      <c r="F24" s="73"/>
    </row>
    <row r="25" spans="1:6" ht="19.5" customHeight="1" x14ac:dyDescent="0.2">
      <c r="A25" s="71" t="s">
        <v>94</v>
      </c>
      <c r="B25" s="19">
        <f>'5'!D5</f>
        <v>1478</v>
      </c>
      <c r="C25" s="19">
        <f>'5'!G5</f>
        <v>1500</v>
      </c>
      <c r="D25" s="19">
        <f>'5'!J5</f>
        <v>1151</v>
      </c>
      <c r="E25" s="22">
        <f t="shared" si="1"/>
        <v>0.76733333333333331</v>
      </c>
      <c r="F25" s="73"/>
    </row>
    <row r="26" spans="1:6" ht="19.5" customHeight="1" x14ac:dyDescent="0.2">
      <c r="A26" s="71" t="s">
        <v>98</v>
      </c>
      <c r="B26" s="19">
        <f>'5'!D6</f>
        <v>0</v>
      </c>
      <c r="C26" s="19">
        <f>'5'!G6</f>
        <v>0</v>
      </c>
      <c r="D26" s="19">
        <f>'5'!J6</f>
        <v>25</v>
      </c>
      <c r="E26" s="22"/>
      <c r="F26" s="73"/>
    </row>
    <row r="27" spans="1:6" ht="19.5" customHeight="1" x14ac:dyDescent="0.2">
      <c r="A27" s="71" t="s">
        <v>76</v>
      </c>
      <c r="B27" s="19">
        <f>'5'!D7</f>
        <v>597</v>
      </c>
      <c r="C27" s="19">
        <f>'5'!G7</f>
        <v>2000</v>
      </c>
      <c r="D27" s="19">
        <f>'5'!J7</f>
        <v>528</v>
      </c>
      <c r="E27" s="22">
        <f t="shared" si="1"/>
        <v>0.26400000000000001</v>
      </c>
      <c r="F27" s="73"/>
    </row>
    <row r="28" spans="1:6" ht="19.5" customHeight="1" x14ac:dyDescent="0.2">
      <c r="A28" s="71" t="s">
        <v>78</v>
      </c>
      <c r="B28" s="19">
        <f>'5'!D9</f>
        <v>21</v>
      </c>
      <c r="C28" s="19"/>
      <c r="D28" s="19">
        <f>'5'!J9</f>
        <v>3</v>
      </c>
      <c r="E28" s="22"/>
      <c r="F28" s="73"/>
    </row>
    <row r="29" spans="1:6" ht="19.5" customHeight="1" x14ac:dyDescent="0.2">
      <c r="A29" s="71" t="s">
        <v>83</v>
      </c>
      <c r="B29" s="19">
        <f>'5'!D15</f>
        <v>19587</v>
      </c>
      <c r="C29" s="19">
        <f>'5'!G15</f>
        <v>19000</v>
      </c>
      <c r="D29" s="19">
        <f>'5'!J15</f>
        <v>15762</v>
      </c>
      <c r="E29" s="22">
        <f t="shared" si="1"/>
        <v>0.82957894736842108</v>
      </c>
      <c r="F29" s="73"/>
    </row>
    <row r="30" spans="1:6" ht="19.5" customHeight="1" x14ac:dyDescent="0.2">
      <c r="A30" s="71" t="s">
        <v>90</v>
      </c>
      <c r="B30" s="19">
        <f>'5'!D16</f>
        <v>10076</v>
      </c>
      <c r="C30" s="19">
        <f>'5'!G16</f>
        <v>11000</v>
      </c>
      <c r="D30" s="19">
        <f>'5'!J16</f>
        <v>7588</v>
      </c>
      <c r="E30" s="22">
        <f t="shared" si="1"/>
        <v>0.68981818181818177</v>
      </c>
      <c r="F30" s="73"/>
    </row>
    <row r="31" spans="1:6" ht="19.5" customHeight="1" x14ac:dyDescent="0.2">
      <c r="A31" s="24" t="s">
        <v>84</v>
      </c>
      <c r="B31" s="19">
        <f>SUM(B23,B12)</f>
        <v>1476206</v>
      </c>
      <c r="C31" s="19">
        <f>SUM(C23,C12)</f>
        <v>1505598</v>
      </c>
      <c r="D31" s="19">
        <f>SUM(D23,D12)</f>
        <v>1490941</v>
      </c>
      <c r="E31" s="22">
        <f t="shared" si="1"/>
        <v>0.99026499769526788</v>
      </c>
      <c r="F31" s="73"/>
    </row>
    <row r="32" spans="1:6" ht="19.5" customHeight="1" x14ac:dyDescent="0.2">
      <c r="A32" s="25" t="s">
        <v>99</v>
      </c>
      <c r="B32" s="19">
        <f>'5'!E17</f>
        <v>19764</v>
      </c>
      <c r="C32" s="19">
        <f>'5'!H17</f>
        <v>20000</v>
      </c>
      <c r="D32" s="19">
        <f>'5'!I17</f>
        <v>20228</v>
      </c>
      <c r="E32" s="22">
        <f t="shared" si="1"/>
        <v>1.0114000000000001</v>
      </c>
      <c r="F32" s="73"/>
    </row>
    <row r="33" spans="1:6" ht="19.5" customHeight="1" x14ac:dyDescent="0.2">
      <c r="A33" s="25" t="s">
        <v>111</v>
      </c>
      <c r="B33" s="19">
        <f>'5'!E18</f>
        <v>134936</v>
      </c>
      <c r="C33" s="19">
        <f>'5'!F18</f>
        <v>138000</v>
      </c>
      <c r="D33" s="19">
        <f>'5'!I18</f>
        <v>135266</v>
      </c>
      <c r="E33" s="22">
        <f t="shared" si="1"/>
        <v>0.98018840579710143</v>
      </c>
      <c r="F33" s="73"/>
    </row>
    <row r="34" spans="1:6" ht="19.5" customHeight="1" x14ac:dyDescent="0.2">
      <c r="A34" s="25" t="s">
        <v>456</v>
      </c>
      <c r="B34" s="19"/>
      <c r="C34" s="19"/>
      <c r="D34" s="19">
        <f>'5'!I19</f>
        <v>1435</v>
      </c>
      <c r="E34" s="22"/>
      <c r="F34" s="73"/>
    </row>
    <row r="35" spans="1:6" ht="19.5" customHeight="1" x14ac:dyDescent="0.2">
      <c r="A35" s="24" t="s">
        <v>85</v>
      </c>
      <c r="B35" s="19">
        <f>'5'!E20</f>
        <v>106953</v>
      </c>
      <c r="C35" s="19">
        <f>'5'!H20</f>
        <v>111000</v>
      </c>
      <c r="D35" s="19">
        <f>'5'!J20</f>
        <v>102889</v>
      </c>
      <c r="E35" s="22">
        <f t="shared" si="1"/>
        <v>0.92692792792792789</v>
      </c>
      <c r="F35" s="73"/>
    </row>
    <row r="36" spans="1:6" ht="19.5" customHeight="1" x14ac:dyDescent="0.2">
      <c r="A36" s="24" t="s">
        <v>86</v>
      </c>
      <c r="B36" s="19">
        <f>'5'!E21</f>
        <v>15105</v>
      </c>
      <c r="C36" s="19">
        <f>'5'!H21</f>
        <v>16000</v>
      </c>
      <c r="D36" s="19">
        <f>'5'!J21</f>
        <v>12821</v>
      </c>
      <c r="E36" s="22">
        <f t="shared" si="1"/>
        <v>0.80131249999999998</v>
      </c>
      <c r="F36" s="73"/>
    </row>
    <row r="37" spans="1:6" ht="19.5" customHeight="1" x14ac:dyDescent="0.2">
      <c r="A37" s="24" t="s">
        <v>87</v>
      </c>
      <c r="B37" s="19">
        <f>'5'!E22</f>
        <v>1597</v>
      </c>
      <c r="C37" s="19">
        <f>'5'!H22</f>
        <v>1500</v>
      </c>
      <c r="D37" s="19">
        <f>'5'!J22</f>
        <v>4726</v>
      </c>
      <c r="E37" s="22">
        <f t="shared" si="1"/>
        <v>3.1506666666666665</v>
      </c>
      <c r="F37" s="73"/>
    </row>
    <row r="38" spans="1:6" ht="19.5" customHeight="1" x14ac:dyDescent="0.2">
      <c r="A38" s="24" t="s">
        <v>16</v>
      </c>
      <c r="B38" s="19">
        <f>'5'!E24</f>
        <v>177115</v>
      </c>
      <c r="C38" s="19">
        <f>'5'!H24</f>
        <v>160000</v>
      </c>
      <c r="D38" s="19">
        <f>'5'!K24</f>
        <v>164000</v>
      </c>
      <c r="E38" s="22">
        <f t="shared" si="1"/>
        <v>1.0249999999999999</v>
      </c>
      <c r="F38" s="73"/>
    </row>
    <row r="39" spans="1:6" ht="19.5" customHeight="1" x14ac:dyDescent="0.2">
      <c r="A39" s="24" t="s">
        <v>100</v>
      </c>
      <c r="B39" s="19">
        <f>'5'!E25</f>
        <v>95722</v>
      </c>
      <c r="C39" s="19">
        <f>'5'!H25</f>
        <v>74000</v>
      </c>
      <c r="D39" s="19">
        <f>'5'!K25</f>
        <v>92549</v>
      </c>
      <c r="E39" s="22">
        <f t="shared" si="1"/>
        <v>1.2506621621621621</v>
      </c>
      <c r="F39" s="73"/>
    </row>
    <row r="40" spans="1:6" ht="19.5" customHeight="1" x14ac:dyDescent="0.2">
      <c r="A40" s="42" t="s">
        <v>17</v>
      </c>
      <c r="B40" s="11">
        <f>SUM(B31:B39)-B32-B33</f>
        <v>1872698</v>
      </c>
      <c r="C40" s="11">
        <f>SUM(C31:C39)-C32-C33</f>
        <v>1868098</v>
      </c>
      <c r="D40" s="11">
        <f>SUM(D31:D39)-D32-D33-D34</f>
        <v>1867926</v>
      </c>
      <c r="E40" s="16">
        <f t="shared" si="1"/>
        <v>0.99990792774254889</v>
      </c>
      <c r="F40" s="74"/>
    </row>
    <row r="41" spans="1:6" ht="9" customHeight="1" x14ac:dyDescent="0.2">
      <c r="A41" s="69"/>
      <c r="B41" s="49"/>
      <c r="D41" s="49"/>
    </row>
    <row r="42" spans="1:6" ht="19.5" customHeight="1" x14ac:dyDescent="0.2">
      <c r="A42" s="42" t="s">
        <v>88</v>
      </c>
      <c r="B42" s="105">
        <f>B40-B10</f>
        <v>-41378</v>
      </c>
      <c r="C42" s="11">
        <f>C40-C10</f>
        <v>-51000</v>
      </c>
      <c r="D42" s="105">
        <f>D40-D10</f>
        <v>-15488</v>
      </c>
      <c r="E42" s="81"/>
    </row>
  </sheetData>
  <phoneticPr fontId="0" type="noConversion"/>
  <conditionalFormatting sqref="A1:XFD1048576">
    <cfRule type="cellIs" dxfId="1" priority="7" stopIfTrue="1" operator="equal">
      <formula>0</formula>
    </cfRule>
  </conditionalFormatting>
  <conditionalFormatting sqref="D42 B42">
    <cfRule type="cellIs" dxfId="0" priority="3" operator="lessThan">
      <formula>0</formula>
    </cfRule>
  </conditionalFormatting>
  <printOptions horizontalCentered="1"/>
  <pageMargins left="0.39370078740157483" right="0.39370078740157483" top="0.78740157480314965" bottom="0.51181102362204722" header="0.31496062992125984" footer="0.31496062992125984"/>
  <pageSetup paperSize="9" scale="90" orientation="portrait" r:id="rId1"/>
  <headerFooter alignWithMargins="0">
    <oddHeader>&amp;CXIII. Kerületi Egészségügyi Szolgálat Nonprofit Kft.
2015. évi költségei és bevételei</oddHeader>
    <oddFooter>&amp;L&amp;D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Views>
    <sheetView workbookViewId="0">
      <selection activeCell="D2" sqref="D2"/>
    </sheetView>
  </sheetViews>
  <sheetFormatPr defaultRowHeight="12.75" x14ac:dyDescent="0.2"/>
  <cols>
    <col min="1" max="1" width="14" customWidth="1"/>
    <col min="2" max="2" width="22.28515625" customWidth="1"/>
    <col min="3" max="3" width="40" customWidth="1"/>
    <col min="4" max="4" width="11" customWidth="1"/>
    <col min="5" max="5" width="10.85546875" style="383" customWidth="1"/>
  </cols>
  <sheetData>
    <row r="1" spans="1:5" x14ac:dyDescent="0.2">
      <c r="D1" t="s">
        <v>572</v>
      </c>
    </row>
    <row r="2" spans="1:5" ht="13.5" thickBot="1" x14ac:dyDescent="0.25"/>
    <row r="3" spans="1:5" ht="13.5" thickBot="1" x14ac:dyDescent="0.25">
      <c r="A3" s="535" t="s">
        <v>467</v>
      </c>
      <c r="B3" s="536"/>
      <c r="C3" s="536"/>
      <c r="D3" s="537"/>
    </row>
    <row r="4" spans="1:5" x14ac:dyDescent="0.2">
      <c r="A4" s="384"/>
      <c r="B4" s="385"/>
      <c r="C4" s="386" t="s">
        <v>0</v>
      </c>
      <c r="D4" s="387" t="s">
        <v>468</v>
      </c>
    </row>
    <row r="5" spans="1:5" x14ac:dyDescent="0.2">
      <c r="A5" s="388"/>
      <c r="B5" s="389" t="s">
        <v>469</v>
      </c>
      <c r="C5" s="390"/>
      <c r="D5" s="391"/>
    </row>
    <row r="6" spans="1:5" x14ac:dyDescent="0.2">
      <c r="A6" s="392" t="s">
        <v>470</v>
      </c>
      <c r="B6" s="389"/>
      <c r="C6" s="390"/>
      <c r="D6" s="393"/>
    </row>
    <row r="7" spans="1:5" x14ac:dyDescent="0.2">
      <c r="A7" s="392"/>
      <c r="B7" s="389"/>
      <c r="C7" s="390" t="s">
        <v>471</v>
      </c>
      <c r="D7" s="393">
        <v>352844</v>
      </c>
    </row>
    <row r="8" spans="1:5" x14ac:dyDescent="0.2">
      <c r="A8" s="392"/>
      <c r="B8" s="389"/>
      <c r="C8" s="390" t="s">
        <v>472</v>
      </c>
      <c r="D8" s="393">
        <v>152400</v>
      </c>
    </row>
    <row r="9" spans="1:5" x14ac:dyDescent="0.2">
      <c r="A9" s="392"/>
      <c r="B9" s="389"/>
      <c r="C9" s="394" t="s">
        <v>473</v>
      </c>
      <c r="D9" s="393">
        <v>462280</v>
      </c>
    </row>
    <row r="10" spans="1:5" x14ac:dyDescent="0.2">
      <c r="A10" s="392"/>
      <c r="B10" s="389"/>
      <c r="C10" s="390"/>
      <c r="D10" s="393"/>
      <c r="E10" s="395">
        <f>SUM(D7:D9)</f>
        <v>967524</v>
      </c>
    </row>
    <row r="11" spans="1:5" x14ac:dyDescent="0.2">
      <c r="A11" s="392" t="s">
        <v>474</v>
      </c>
      <c r="B11" s="390"/>
      <c r="C11" s="390"/>
      <c r="D11" s="393"/>
    </row>
    <row r="12" spans="1:5" x14ac:dyDescent="0.2">
      <c r="A12" s="392"/>
      <c r="B12" s="390" t="s">
        <v>475</v>
      </c>
      <c r="C12" s="390" t="s">
        <v>476</v>
      </c>
      <c r="D12" s="393">
        <v>131445</v>
      </c>
    </row>
    <row r="13" spans="1:5" x14ac:dyDescent="0.2">
      <c r="A13" s="392"/>
      <c r="B13" s="390"/>
      <c r="C13" s="390" t="s">
        <v>477</v>
      </c>
      <c r="D13" s="393">
        <v>339090</v>
      </c>
    </row>
    <row r="14" spans="1:5" x14ac:dyDescent="0.2">
      <c r="A14" s="392"/>
      <c r="B14" s="390" t="s">
        <v>478</v>
      </c>
      <c r="C14" s="396" t="s">
        <v>479</v>
      </c>
      <c r="D14" s="397">
        <v>1822995</v>
      </c>
    </row>
    <row r="15" spans="1:5" x14ac:dyDescent="0.2">
      <c r="A15" s="392"/>
      <c r="B15" s="390"/>
      <c r="C15" s="396" t="s">
        <v>480</v>
      </c>
      <c r="D15" s="397">
        <v>72480</v>
      </c>
    </row>
    <row r="16" spans="1:5" x14ac:dyDescent="0.2">
      <c r="A16" s="392"/>
      <c r="B16" s="390"/>
      <c r="C16" s="390" t="s">
        <v>481</v>
      </c>
      <c r="D16" s="393">
        <v>2080070</v>
      </c>
    </row>
    <row r="17" spans="1:4" x14ac:dyDescent="0.2">
      <c r="A17" s="392"/>
      <c r="B17" s="390"/>
      <c r="C17" s="390" t="s">
        <v>482</v>
      </c>
      <c r="D17" s="393">
        <v>1220153</v>
      </c>
    </row>
    <row r="18" spans="1:4" x14ac:dyDescent="0.2">
      <c r="A18" s="392"/>
      <c r="B18" s="390"/>
      <c r="C18" s="390" t="s">
        <v>483</v>
      </c>
      <c r="D18" s="393">
        <v>739839</v>
      </c>
    </row>
    <row r="19" spans="1:4" x14ac:dyDescent="0.2">
      <c r="A19" s="392"/>
      <c r="B19" s="390"/>
      <c r="C19" s="390" t="s">
        <v>484</v>
      </c>
      <c r="D19" s="393">
        <v>565144</v>
      </c>
    </row>
    <row r="20" spans="1:4" x14ac:dyDescent="0.2">
      <c r="A20" s="392"/>
      <c r="B20" s="390"/>
      <c r="C20" s="390" t="s">
        <v>485</v>
      </c>
      <c r="D20" s="393">
        <v>63161</v>
      </c>
    </row>
    <row r="21" spans="1:4" x14ac:dyDescent="0.2">
      <c r="A21" s="392"/>
      <c r="B21" s="390"/>
      <c r="C21" s="390" t="s">
        <v>486</v>
      </c>
      <c r="D21" s="393">
        <v>178000</v>
      </c>
    </row>
    <row r="22" spans="1:4" x14ac:dyDescent="0.2">
      <c r="A22" s="392"/>
      <c r="B22" s="390"/>
      <c r="C22" s="390" t="s">
        <v>487</v>
      </c>
      <c r="D22" s="393">
        <v>13005534</v>
      </c>
    </row>
    <row r="23" spans="1:4" x14ac:dyDescent="0.2">
      <c r="A23" s="392"/>
      <c r="B23" s="390"/>
      <c r="C23" s="390" t="s">
        <v>488</v>
      </c>
      <c r="D23" s="393">
        <v>95119</v>
      </c>
    </row>
    <row r="24" spans="1:4" x14ac:dyDescent="0.2">
      <c r="A24" s="392"/>
      <c r="B24" s="390" t="s">
        <v>489</v>
      </c>
      <c r="C24" s="390" t="s">
        <v>490</v>
      </c>
      <c r="D24" s="393">
        <v>36507420</v>
      </c>
    </row>
    <row r="25" spans="1:4" x14ac:dyDescent="0.2">
      <c r="A25" s="392"/>
      <c r="B25" s="390"/>
      <c r="C25" s="390" t="s">
        <v>491</v>
      </c>
      <c r="D25" s="393">
        <v>1953260</v>
      </c>
    </row>
    <row r="26" spans="1:4" x14ac:dyDescent="0.2">
      <c r="A26" s="392"/>
      <c r="B26" s="390"/>
      <c r="C26" s="390" t="s">
        <v>492</v>
      </c>
      <c r="D26" s="393">
        <v>3797300</v>
      </c>
    </row>
    <row r="27" spans="1:4" x14ac:dyDescent="0.2">
      <c r="A27" s="392"/>
      <c r="B27" s="390"/>
      <c r="C27" s="390" t="s">
        <v>493</v>
      </c>
      <c r="D27" s="393">
        <v>1221105</v>
      </c>
    </row>
    <row r="28" spans="1:4" x14ac:dyDescent="0.2">
      <c r="A28" s="392"/>
      <c r="B28" s="390" t="s">
        <v>494</v>
      </c>
      <c r="C28" s="390" t="s">
        <v>495</v>
      </c>
      <c r="D28" s="393">
        <v>9118600</v>
      </c>
    </row>
    <row r="29" spans="1:4" x14ac:dyDescent="0.2">
      <c r="A29" s="392"/>
      <c r="B29" s="390"/>
      <c r="C29" s="390" t="s">
        <v>496</v>
      </c>
      <c r="D29" s="393">
        <v>314960</v>
      </c>
    </row>
    <row r="30" spans="1:4" x14ac:dyDescent="0.2">
      <c r="A30" s="392"/>
      <c r="B30" s="390"/>
      <c r="C30" s="390" t="s">
        <v>497</v>
      </c>
      <c r="D30" s="393">
        <v>1477010</v>
      </c>
    </row>
    <row r="31" spans="1:4" x14ac:dyDescent="0.2">
      <c r="A31" s="392"/>
      <c r="B31" s="390" t="s">
        <v>498</v>
      </c>
      <c r="C31" s="390" t="s">
        <v>499</v>
      </c>
      <c r="D31" s="393">
        <v>4337685</v>
      </c>
    </row>
    <row r="32" spans="1:4" x14ac:dyDescent="0.2">
      <c r="A32" s="392"/>
      <c r="B32" s="390" t="s">
        <v>500</v>
      </c>
      <c r="C32" s="390" t="s">
        <v>501</v>
      </c>
      <c r="D32" s="393">
        <v>709369</v>
      </c>
    </row>
    <row r="33" spans="1:4" x14ac:dyDescent="0.2">
      <c r="A33" s="392"/>
      <c r="B33" s="390" t="s">
        <v>502</v>
      </c>
      <c r="C33" s="390" t="s">
        <v>501</v>
      </c>
      <c r="D33" s="393">
        <v>709369</v>
      </c>
    </row>
    <row r="34" spans="1:4" x14ac:dyDescent="0.2">
      <c r="A34" s="398"/>
      <c r="B34" s="390" t="s">
        <v>503</v>
      </c>
      <c r="C34" s="390" t="s">
        <v>504</v>
      </c>
      <c r="D34" s="393">
        <v>114000</v>
      </c>
    </row>
    <row r="35" spans="1:4" x14ac:dyDescent="0.2">
      <c r="A35" s="392"/>
      <c r="B35" s="390"/>
      <c r="C35" s="390" t="s">
        <v>505</v>
      </c>
      <c r="D35" s="393">
        <v>48829</v>
      </c>
    </row>
    <row r="36" spans="1:4" x14ac:dyDescent="0.2">
      <c r="A36" s="399"/>
      <c r="B36" s="400"/>
      <c r="C36" s="400" t="s">
        <v>506</v>
      </c>
      <c r="D36" s="401">
        <v>2819400</v>
      </c>
    </row>
    <row r="37" spans="1:4" x14ac:dyDescent="0.2">
      <c r="A37" s="402"/>
      <c r="B37" s="400" t="s">
        <v>507</v>
      </c>
      <c r="C37" s="400" t="s">
        <v>508</v>
      </c>
      <c r="D37" s="401">
        <v>113030</v>
      </c>
    </row>
    <row r="38" spans="1:4" x14ac:dyDescent="0.2">
      <c r="A38" s="402"/>
      <c r="B38" s="400"/>
      <c r="C38" s="400" t="s">
        <v>509</v>
      </c>
      <c r="D38" s="401">
        <v>2390000</v>
      </c>
    </row>
    <row r="39" spans="1:4" x14ac:dyDescent="0.2">
      <c r="A39" s="402"/>
      <c r="B39" s="400"/>
      <c r="C39" s="400" t="s">
        <v>510</v>
      </c>
      <c r="D39" s="401">
        <v>340000</v>
      </c>
    </row>
    <row r="40" spans="1:4" x14ac:dyDescent="0.2">
      <c r="A40" s="402"/>
      <c r="B40" s="400"/>
      <c r="C40" s="400" t="s">
        <v>511</v>
      </c>
      <c r="D40" s="401">
        <v>1110825</v>
      </c>
    </row>
    <row r="41" spans="1:4" x14ac:dyDescent="0.2">
      <c r="A41" s="402"/>
      <c r="B41" s="400"/>
      <c r="C41" s="400" t="s">
        <v>512</v>
      </c>
      <c r="D41" s="401">
        <v>929005</v>
      </c>
    </row>
    <row r="42" spans="1:4" x14ac:dyDescent="0.2">
      <c r="A42" s="402"/>
      <c r="B42" s="400"/>
      <c r="C42" s="400" t="s">
        <v>513</v>
      </c>
      <c r="D42" s="401">
        <v>298704</v>
      </c>
    </row>
    <row r="43" spans="1:4" x14ac:dyDescent="0.2">
      <c r="A43" s="402"/>
      <c r="B43" s="400"/>
      <c r="C43" s="400" t="s">
        <v>514</v>
      </c>
      <c r="D43" s="401">
        <v>132715</v>
      </c>
    </row>
    <row r="44" spans="1:4" x14ac:dyDescent="0.2">
      <c r="A44" s="402"/>
      <c r="B44" s="400"/>
      <c r="C44" s="400" t="s">
        <v>515</v>
      </c>
      <c r="D44" s="401">
        <v>2482215</v>
      </c>
    </row>
    <row r="45" spans="1:4" x14ac:dyDescent="0.2">
      <c r="A45" s="402"/>
      <c r="B45" s="400"/>
      <c r="C45" s="400" t="s">
        <v>516</v>
      </c>
      <c r="D45" s="401">
        <v>389763</v>
      </c>
    </row>
    <row r="46" spans="1:4" x14ac:dyDescent="0.2">
      <c r="A46" s="402"/>
      <c r="B46" s="400" t="s">
        <v>517</v>
      </c>
      <c r="C46" s="400" t="s">
        <v>518</v>
      </c>
      <c r="D46" s="401">
        <v>969010</v>
      </c>
    </row>
    <row r="47" spans="1:4" x14ac:dyDescent="0.2">
      <c r="A47" s="402"/>
      <c r="B47" s="400"/>
      <c r="C47" s="400" t="s">
        <v>519</v>
      </c>
      <c r="D47" s="401">
        <v>421005</v>
      </c>
    </row>
    <row r="48" spans="1:4" x14ac:dyDescent="0.2">
      <c r="A48" s="402"/>
      <c r="B48" s="400" t="s">
        <v>520</v>
      </c>
      <c r="C48" s="400" t="s">
        <v>521</v>
      </c>
      <c r="D48" s="401">
        <v>193167</v>
      </c>
    </row>
    <row r="49" spans="1:5" x14ac:dyDescent="0.2">
      <c r="A49" s="402"/>
      <c r="B49" s="400"/>
      <c r="C49" s="400" t="s">
        <v>522</v>
      </c>
      <c r="D49" s="401">
        <v>100076</v>
      </c>
    </row>
    <row r="50" spans="1:5" x14ac:dyDescent="0.2">
      <c r="A50" s="402"/>
      <c r="B50" s="400" t="s">
        <v>523</v>
      </c>
      <c r="C50" s="400" t="s">
        <v>524</v>
      </c>
      <c r="D50" s="401">
        <v>250000</v>
      </c>
    </row>
    <row r="51" spans="1:5" x14ac:dyDescent="0.2">
      <c r="A51" s="402"/>
      <c r="B51" s="400" t="s">
        <v>525</v>
      </c>
      <c r="C51" s="400" t="s">
        <v>526</v>
      </c>
      <c r="D51" s="401">
        <v>541500</v>
      </c>
    </row>
    <row r="52" spans="1:5" x14ac:dyDescent="0.2">
      <c r="A52" s="402"/>
      <c r="B52" s="400" t="s">
        <v>527</v>
      </c>
      <c r="C52" s="400" t="s">
        <v>492</v>
      </c>
      <c r="D52" s="401">
        <v>16428720</v>
      </c>
    </row>
    <row r="53" spans="1:5" x14ac:dyDescent="0.2">
      <c r="A53" s="402"/>
      <c r="B53" s="400" t="s">
        <v>528</v>
      </c>
      <c r="C53" s="400" t="s">
        <v>529</v>
      </c>
      <c r="D53" s="401">
        <v>5080000</v>
      </c>
    </row>
    <row r="54" spans="1:5" x14ac:dyDescent="0.2">
      <c r="A54" s="402"/>
      <c r="B54" s="400" t="s">
        <v>530</v>
      </c>
      <c r="C54" s="400" t="s">
        <v>531</v>
      </c>
      <c r="D54" s="401">
        <v>421747</v>
      </c>
    </row>
    <row r="55" spans="1:5" x14ac:dyDescent="0.2">
      <c r="A55" s="402"/>
      <c r="B55" s="400"/>
      <c r="C55" s="400" t="s">
        <v>532</v>
      </c>
      <c r="D55" s="401">
        <v>9999980</v>
      </c>
    </row>
    <row r="56" spans="1:5" x14ac:dyDescent="0.2">
      <c r="A56" s="402"/>
      <c r="B56" s="400"/>
      <c r="C56" s="400"/>
      <c r="D56" s="401"/>
      <c r="E56" s="383">
        <f>SUM(D12:D55)</f>
        <v>126032799</v>
      </c>
    </row>
    <row r="57" spans="1:5" x14ac:dyDescent="0.2">
      <c r="A57" s="402" t="s">
        <v>533</v>
      </c>
      <c r="B57" s="400"/>
      <c r="C57" s="400"/>
      <c r="D57" s="401"/>
    </row>
    <row r="58" spans="1:5" x14ac:dyDescent="0.2">
      <c r="A58" s="402"/>
      <c r="B58" s="400" t="s">
        <v>534</v>
      </c>
      <c r="C58" s="400" t="s">
        <v>535</v>
      </c>
      <c r="D58" s="401">
        <v>6635772</v>
      </c>
    </row>
    <row r="59" spans="1:5" x14ac:dyDescent="0.2">
      <c r="A59" s="402"/>
      <c r="B59" s="400"/>
      <c r="C59" s="400" t="s">
        <v>536</v>
      </c>
      <c r="D59" s="401">
        <v>292672</v>
      </c>
    </row>
    <row r="60" spans="1:5" x14ac:dyDescent="0.2">
      <c r="A60" s="402"/>
      <c r="B60" s="400"/>
      <c r="C60" s="400"/>
      <c r="D60" s="401"/>
      <c r="E60" s="383">
        <f>SUM(D58:D59)</f>
        <v>6928444</v>
      </c>
    </row>
    <row r="61" spans="1:5" x14ac:dyDescent="0.2">
      <c r="A61" s="402"/>
      <c r="B61" s="400"/>
      <c r="C61" s="400"/>
      <c r="D61" s="401"/>
    </row>
    <row r="62" spans="1:5" x14ac:dyDescent="0.2">
      <c r="A62" s="402"/>
      <c r="B62" s="400"/>
      <c r="C62" s="400"/>
      <c r="D62" s="401"/>
    </row>
    <row r="63" spans="1:5" x14ac:dyDescent="0.2">
      <c r="A63" s="402"/>
      <c r="B63" s="400"/>
      <c r="C63" s="400"/>
      <c r="D63" s="401"/>
    </row>
    <row r="64" spans="1:5" x14ac:dyDescent="0.2">
      <c r="A64" s="399" t="s">
        <v>537</v>
      </c>
      <c r="B64" s="400"/>
      <c r="C64" s="400"/>
      <c r="D64" s="401"/>
    </row>
    <row r="65" spans="1:5" x14ac:dyDescent="0.2">
      <c r="A65" s="399"/>
      <c r="B65" s="400"/>
      <c r="C65" s="400" t="s">
        <v>538</v>
      </c>
      <c r="D65" s="401">
        <v>1137920</v>
      </c>
    </row>
    <row r="66" spans="1:5" x14ac:dyDescent="0.2">
      <c r="A66" s="399"/>
      <c r="B66" s="400"/>
      <c r="C66" s="400" t="s">
        <v>539</v>
      </c>
      <c r="D66" s="401">
        <v>599345</v>
      </c>
    </row>
    <row r="67" spans="1:5" x14ac:dyDescent="0.2">
      <c r="A67" s="399"/>
      <c r="B67" s="400" t="s">
        <v>534</v>
      </c>
      <c r="C67" s="400" t="s">
        <v>540</v>
      </c>
      <c r="D67" s="401">
        <v>4230068</v>
      </c>
    </row>
    <row r="68" spans="1:5" x14ac:dyDescent="0.2">
      <c r="A68" s="399"/>
      <c r="B68" s="400" t="s">
        <v>541</v>
      </c>
      <c r="C68" s="400" t="s">
        <v>542</v>
      </c>
      <c r="D68" s="401">
        <v>69723</v>
      </c>
    </row>
    <row r="69" spans="1:5" x14ac:dyDescent="0.2">
      <c r="A69" s="399"/>
      <c r="B69" s="400"/>
      <c r="C69" s="400" t="s">
        <v>543</v>
      </c>
      <c r="D69" s="401">
        <v>539750</v>
      </c>
    </row>
    <row r="70" spans="1:5" x14ac:dyDescent="0.2">
      <c r="A70" s="399"/>
      <c r="B70" s="400" t="s">
        <v>544</v>
      </c>
      <c r="C70" s="400" t="s">
        <v>545</v>
      </c>
      <c r="D70" s="401">
        <v>42799</v>
      </c>
    </row>
    <row r="71" spans="1:5" x14ac:dyDescent="0.2">
      <c r="A71" s="399"/>
      <c r="B71" s="400"/>
      <c r="C71" s="400"/>
      <c r="D71" s="401"/>
      <c r="E71" s="383">
        <f>SUM(D65:D70)</f>
        <v>6619605</v>
      </c>
    </row>
    <row r="72" spans="1:5" x14ac:dyDescent="0.2">
      <c r="A72" s="403"/>
      <c r="B72" s="400"/>
      <c r="C72" s="404" t="s">
        <v>546</v>
      </c>
      <c r="D72" s="405">
        <f>SUM(D6:D71)</f>
        <v>140548372</v>
      </c>
    </row>
    <row r="73" spans="1:5" x14ac:dyDescent="0.2">
      <c r="A73" s="406"/>
      <c r="B73" s="406"/>
      <c r="C73" s="406"/>
      <c r="D73" s="407"/>
      <c r="E73" s="408"/>
    </row>
    <row r="74" spans="1:5" ht="12" customHeight="1" thickBot="1" x14ac:dyDescent="0.25">
      <c r="A74" s="409"/>
      <c r="B74" s="409"/>
      <c r="C74" s="409"/>
      <c r="D74" s="410"/>
      <c r="E74" s="408"/>
    </row>
    <row r="75" spans="1:5" x14ac:dyDescent="0.2">
      <c r="A75" s="411"/>
      <c r="B75" s="412" t="s">
        <v>547</v>
      </c>
      <c r="C75" s="413"/>
      <c r="D75" s="414"/>
    </row>
    <row r="76" spans="1:5" x14ac:dyDescent="0.2">
      <c r="A76" s="403"/>
      <c r="B76" s="400"/>
      <c r="C76" s="400"/>
      <c r="D76" s="401"/>
    </row>
    <row r="77" spans="1:5" x14ac:dyDescent="0.2">
      <c r="A77" s="399" t="s">
        <v>548</v>
      </c>
      <c r="B77" s="400"/>
      <c r="C77" s="400"/>
      <c r="D77" s="401"/>
    </row>
    <row r="78" spans="1:5" x14ac:dyDescent="0.2">
      <c r="A78" s="399"/>
      <c r="B78" s="400"/>
      <c r="C78" s="400" t="s">
        <v>549</v>
      </c>
      <c r="D78" s="401">
        <v>395927</v>
      </c>
    </row>
    <row r="79" spans="1:5" x14ac:dyDescent="0.2">
      <c r="A79" s="399"/>
      <c r="B79" s="400"/>
      <c r="C79" s="400" t="s">
        <v>550</v>
      </c>
      <c r="D79" s="401">
        <v>123952</v>
      </c>
      <c r="E79" s="383">
        <f>SUM(D77:D79)</f>
        <v>519879</v>
      </c>
    </row>
    <row r="80" spans="1:5" x14ac:dyDescent="0.2">
      <c r="A80" s="399"/>
      <c r="B80" s="400"/>
      <c r="C80" s="400"/>
      <c r="D80" s="401"/>
    </row>
    <row r="81" spans="1:5" ht="13.5" thickBot="1" x14ac:dyDescent="0.25">
      <c r="A81" s="415"/>
      <c r="B81" s="416"/>
      <c r="C81" s="417" t="s">
        <v>551</v>
      </c>
      <c r="D81" s="418">
        <f>SUM(D76:D79)</f>
        <v>519879</v>
      </c>
    </row>
    <row r="83" spans="1:5" ht="13.5" thickBot="1" x14ac:dyDescent="0.25"/>
    <row r="84" spans="1:5" x14ac:dyDescent="0.2">
      <c r="A84" s="419"/>
      <c r="B84" s="386" t="s">
        <v>552</v>
      </c>
      <c r="C84" s="385"/>
      <c r="D84" s="420"/>
    </row>
    <row r="85" spans="1:5" x14ac:dyDescent="0.2">
      <c r="A85" s="389"/>
      <c r="B85" s="389"/>
      <c r="C85" s="390"/>
      <c r="D85" s="421"/>
    </row>
    <row r="86" spans="1:5" x14ac:dyDescent="0.2">
      <c r="A86" s="389" t="s">
        <v>470</v>
      </c>
      <c r="B86" s="389"/>
      <c r="C86" s="390" t="s">
        <v>553</v>
      </c>
      <c r="D86" s="421">
        <v>114300</v>
      </c>
    </row>
    <row r="87" spans="1:5" x14ac:dyDescent="0.2">
      <c r="A87" s="389"/>
      <c r="B87" s="389"/>
      <c r="C87" s="390" t="s">
        <v>554</v>
      </c>
      <c r="D87" s="421">
        <v>466344</v>
      </c>
    </row>
    <row r="88" spans="1:5" x14ac:dyDescent="0.2">
      <c r="A88" s="389"/>
      <c r="B88" s="389"/>
      <c r="C88" s="390"/>
      <c r="D88" s="421"/>
      <c r="E88" s="383">
        <f>SUM(D86:D87)</f>
        <v>580644</v>
      </c>
    </row>
    <row r="89" spans="1:5" x14ac:dyDescent="0.2">
      <c r="A89" s="399" t="s">
        <v>555</v>
      </c>
      <c r="B89" s="400"/>
      <c r="C89" s="400"/>
      <c r="D89" s="401"/>
    </row>
    <row r="90" spans="1:5" x14ac:dyDescent="0.2">
      <c r="A90" s="399"/>
      <c r="B90" s="400"/>
      <c r="C90" s="400" t="s">
        <v>556</v>
      </c>
      <c r="D90" s="401">
        <v>3734293</v>
      </c>
    </row>
    <row r="91" spans="1:5" x14ac:dyDescent="0.2">
      <c r="A91" s="399"/>
      <c r="B91" s="400"/>
      <c r="C91" s="400" t="s">
        <v>557</v>
      </c>
      <c r="D91" s="401">
        <v>664972</v>
      </c>
    </row>
    <row r="92" spans="1:5" x14ac:dyDescent="0.2">
      <c r="A92" s="399"/>
      <c r="B92" s="400"/>
      <c r="C92" s="400" t="s">
        <v>558</v>
      </c>
      <c r="D92" s="401">
        <v>427345</v>
      </c>
      <c r="E92" s="383">
        <f>SUM(D90:D92)</f>
        <v>4826610</v>
      </c>
    </row>
    <row r="93" spans="1:5" x14ac:dyDescent="0.2">
      <c r="A93" s="399"/>
      <c r="B93" s="400"/>
      <c r="C93" s="400"/>
      <c r="D93" s="401"/>
    </row>
    <row r="94" spans="1:5" ht="13.5" thickBot="1" x14ac:dyDescent="0.25">
      <c r="A94" s="415"/>
      <c r="B94" s="416"/>
      <c r="C94" s="417" t="s">
        <v>551</v>
      </c>
      <c r="D94" s="418">
        <f>SUM(D85:D93)</f>
        <v>5407254</v>
      </c>
    </row>
    <row r="95" spans="1:5" x14ac:dyDescent="0.2">
      <c r="E95" s="395"/>
    </row>
    <row r="96" spans="1:5" ht="13.5" thickBot="1" x14ac:dyDescent="0.25"/>
    <row r="97" spans="1:5" x14ac:dyDescent="0.2">
      <c r="A97" s="419"/>
      <c r="B97" s="386" t="s">
        <v>559</v>
      </c>
      <c r="C97" s="385"/>
      <c r="D97" s="420"/>
    </row>
    <row r="98" spans="1:5" x14ac:dyDescent="0.2">
      <c r="A98" s="403"/>
      <c r="B98" s="400"/>
      <c r="C98" s="400"/>
      <c r="D98" s="401"/>
    </row>
    <row r="99" spans="1:5" x14ac:dyDescent="0.2">
      <c r="A99" s="399" t="s">
        <v>560</v>
      </c>
      <c r="B99" s="400"/>
      <c r="C99" s="400"/>
      <c r="D99" s="401"/>
    </row>
    <row r="100" spans="1:5" x14ac:dyDescent="0.2">
      <c r="A100" s="399"/>
      <c r="B100" s="400"/>
      <c r="C100" s="400" t="s">
        <v>561</v>
      </c>
      <c r="D100" s="401">
        <v>345440</v>
      </c>
      <c r="E100" s="383">
        <v>345440</v>
      </c>
    </row>
    <row r="101" spans="1:5" x14ac:dyDescent="0.2">
      <c r="A101" s="399"/>
      <c r="B101" s="400"/>
      <c r="C101" s="400"/>
      <c r="D101" s="401"/>
    </row>
    <row r="102" spans="1:5" x14ac:dyDescent="0.2">
      <c r="A102" s="399"/>
      <c r="B102" s="400"/>
      <c r="C102" s="400"/>
      <c r="D102" s="401"/>
    </row>
    <row r="103" spans="1:5" ht="13.5" thickBot="1" x14ac:dyDescent="0.25">
      <c r="A103" s="415"/>
      <c r="B103" s="416"/>
      <c r="C103" s="417" t="s">
        <v>551</v>
      </c>
      <c r="D103" s="418">
        <f>SUM(D98:D101)</f>
        <v>345440</v>
      </c>
    </row>
    <row r="107" spans="1:5" x14ac:dyDescent="0.2">
      <c r="C107" t="s">
        <v>562</v>
      </c>
      <c r="E107" s="395">
        <f>SUM(E2:E103)</f>
        <v>146820945</v>
      </c>
    </row>
    <row r="108" spans="1:5" x14ac:dyDescent="0.2">
      <c r="E108" s="395"/>
    </row>
    <row r="109" spans="1:5" x14ac:dyDescent="0.2">
      <c r="E109" s="395"/>
    </row>
    <row r="110" spans="1:5" x14ac:dyDescent="0.2">
      <c r="E110" s="395"/>
    </row>
    <row r="111" spans="1:5" x14ac:dyDescent="0.2">
      <c r="E111" s="395"/>
    </row>
    <row r="112" spans="1:5" x14ac:dyDescent="0.2">
      <c r="A112" s="422"/>
      <c r="B112" s="422"/>
      <c r="C112" s="422"/>
      <c r="D112" s="422"/>
    </row>
    <row r="113" spans="1:4" x14ac:dyDescent="0.2">
      <c r="A113" s="422"/>
      <c r="B113" s="422"/>
      <c r="C113" s="422"/>
      <c r="D113" s="422"/>
    </row>
    <row r="114" spans="1:4" x14ac:dyDescent="0.2">
      <c r="A114" s="422"/>
      <c r="B114" s="422"/>
      <c r="C114" s="422"/>
      <c r="D114" s="422"/>
    </row>
    <row r="115" spans="1:4" x14ac:dyDescent="0.2">
      <c r="A115" s="538"/>
      <c r="B115" s="539"/>
      <c r="C115" s="539"/>
      <c r="D115" s="539"/>
    </row>
    <row r="116" spans="1:4" x14ac:dyDescent="0.2">
      <c r="A116" s="422"/>
      <c r="B116" s="422"/>
      <c r="C116" s="423"/>
      <c r="D116" s="423"/>
    </row>
    <row r="117" spans="1:4" x14ac:dyDescent="0.2">
      <c r="A117" s="422"/>
      <c r="B117" s="423"/>
      <c r="C117" s="422"/>
      <c r="D117" s="422"/>
    </row>
    <row r="118" spans="1:4" x14ac:dyDescent="0.2">
      <c r="A118" s="424"/>
      <c r="B118" s="423"/>
      <c r="C118" s="422"/>
      <c r="D118" s="408"/>
    </row>
    <row r="119" spans="1:4" x14ac:dyDescent="0.2">
      <c r="A119" s="424"/>
      <c r="B119" s="423"/>
      <c r="C119" s="422"/>
      <c r="D119" s="408"/>
    </row>
    <row r="120" spans="1:4" x14ac:dyDescent="0.2">
      <c r="A120" s="424"/>
      <c r="B120" s="423"/>
      <c r="C120" s="422"/>
      <c r="D120" s="408"/>
    </row>
    <row r="121" spans="1:4" x14ac:dyDescent="0.2">
      <c r="A121" s="424"/>
      <c r="B121" s="423"/>
      <c r="C121" s="422"/>
      <c r="D121" s="408"/>
    </row>
    <row r="122" spans="1:4" x14ac:dyDescent="0.2">
      <c r="A122" s="424"/>
      <c r="B122" s="423"/>
      <c r="C122" s="422"/>
      <c r="D122" s="408"/>
    </row>
    <row r="123" spans="1:4" x14ac:dyDescent="0.2">
      <c r="A123" s="424"/>
      <c r="B123" s="423"/>
      <c r="C123" s="422"/>
      <c r="D123" s="408"/>
    </row>
    <row r="124" spans="1:4" x14ac:dyDescent="0.2">
      <c r="A124" s="424"/>
      <c r="B124" s="422"/>
      <c r="C124" s="422"/>
      <c r="D124" s="408"/>
    </row>
    <row r="125" spans="1:4" x14ac:dyDescent="0.2">
      <c r="A125" s="424"/>
      <c r="B125" s="422"/>
      <c r="C125" s="422"/>
      <c r="D125" s="408"/>
    </row>
    <row r="126" spans="1:4" x14ac:dyDescent="0.2">
      <c r="A126" s="424"/>
      <c r="B126" s="422"/>
      <c r="C126" s="422"/>
      <c r="D126" s="408"/>
    </row>
    <row r="127" spans="1:4" x14ac:dyDescent="0.2">
      <c r="A127" s="424"/>
      <c r="B127" s="422"/>
      <c r="C127" s="422"/>
      <c r="D127" s="408"/>
    </row>
    <row r="128" spans="1:4" x14ac:dyDescent="0.2">
      <c r="A128" s="423"/>
      <c r="B128" s="422"/>
      <c r="C128" s="422"/>
      <c r="D128" s="408"/>
    </row>
    <row r="129" spans="1:4" x14ac:dyDescent="0.2">
      <c r="A129" s="423"/>
      <c r="B129" s="422"/>
      <c r="C129" s="422"/>
      <c r="D129" s="408"/>
    </row>
    <row r="130" spans="1:4" x14ac:dyDescent="0.2">
      <c r="A130" s="423"/>
      <c r="B130" s="422"/>
      <c r="C130" s="422"/>
      <c r="D130" s="408"/>
    </row>
    <row r="131" spans="1:4" x14ac:dyDescent="0.2">
      <c r="A131" s="423"/>
      <c r="B131" s="422"/>
      <c r="C131" s="422"/>
      <c r="D131" s="408"/>
    </row>
    <row r="132" spans="1:4" x14ac:dyDescent="0.2">
      <c r="A132" s="423"/>
      <c r="B132" s="422"/>
      <c r="C132" s="422"/>
      <c r="D132" s="408"/>
    </row>
    <row r="133" spans="1:4" x14ac:dyDescent="0.2">
      <c r="A133" s="423"/>
      <c r="B133" s="422"/>
      <c r="C133" s="422"/>
      <c r="D133" s="408"/>
    </row>
    <row r="134" spans="1:4" x14ac:dyDescent="0.2">
      <c r="A134" s="423"/>
      <c r="B134" s="422"/>
      <c r="C134" s="422"/>
      <c r="D134" s="408"/>
    </row>
    <row r="135" spans="1:4" x14ac:dyDescent="0.2">
      <c r="A135" s="423"/>
      <c r="B135" s="422"/>
      <c r="C135" s="422"/>
      <c r="D135" s="408"/>
    </row>
    <row r="136" spans="1:4" x14ac:dyDescent="0.2">
      <c r="A136" s="424"/>
      <c r="B136" s="422"/>
      <c r="C136" s="422"/>
      <c r="D136" s="408"/>
    </row>
    <row r="137" spans="1:4" x14ac:dyDescent="0.2">
      <c r="A137" s="424"/>
      <c r="B137" s="422"/>
      <c r="C137" s="422"/>
      <c r="D137" s="408"/>
    </row>
    <row r="138" spans="1:4" x14ac:dyDescent="0.2">
      <c r="A138" s="424"/>
      <c r="B138" s="422"/>
      <c r="C138" s="422"/>
      <c r="D138" s="408"/>
    </row>
    <row r="139" spans="1:4" x14ac:dyDescent="0.2">
      <c r="A139" s="424"/>
      <c r="B139" s="422"/>
      <c r="C139" s="422"/>
      <c r="D139" s="408"/>
    </row>
    <row r="140" spans="1:4" x14ac:dyDescent="0.2">
      <c r="A140" s="422"/>
      <c r="B140" s="422"/>
      <c r="C140" s="422"/>
      <c r="D140" s="408"/>
    </row>
    <row r="141" spans="1:4" x14ac:dyDescent="0.2">
      <c r="A141" s="424"/>
      <c r="B141" s="422"/>
      <c r="C141" s="422"/>
      <c r="D141" s="408"/>
    </row>
    <row r="142" spans="1:4" x14ac:dyDescent="0.2">
      <c r="A142" s="422"/>
      <c r="B142" s="422"/>
      <c r="C142" s="422"/>
      <c r="D142" s="408"/>
    </row>
    <row r="143" spans="1:4" x14ac:dyDescent="0.2">
      <c r="A143" s="422"/>
      <c r="B143" s="422"/>
      <c r="C143" s="422"/>
      <c r="D143" s="408"/>
    </row>
    <row r="144" spans="1:4" x14ac:dyDescent="0.2">
      <c r="A144" s="422"/>
      <c r="B144" s="422"/>
      <c r="C144" s="423"/>
      <c r="D144" s="425"/>
    </row>
    <row r="145" spans="1:4" x14ac:dyDescent="0.2">
      <c r="A145" s="422"/>
      <c r="B145" s="422"/>
      <c r="C145" s="422"/>
      <c r="D145" s="408"/>
    </row>
    <row r="146" spans="1:4" x14ac:dyDescent="0.2">
      <c r="A146" s="422"/>
      <c r="B146" s="422"/>
      <c r="C146" s="422"/>
      <c r="D146" s="408"/>
    </row>
    <row r="147" spans="1:4" x14ac:dyDescent="0.2">
      <c r="A147" s="422"/>
      <c r="B147" s="422"/>
      <c r="C147" s="422"/>
      <c r="D147" s="422"/>
    </row>
    <row r="148" spans="1:4" x14ac:dyDescent="0.2">
      <c r="A148" s="422"/>
      <c r="B148" s="422"/>
      <c r="C148" s="422"/>
      <c r="D148" s="422"/>
    </row>
    <row r="149" spans="1:4" x14ac:dyDescent="0.2">
      <c r="A149" s="423"/>
      <c r="B149" s="423"/>
      <c r="C149" s="422"/>
      <c r="D149" s="408"/>
    </row>
    <row r="150" spans="1:4" x14ac:dyDescent="0.2">
      <c r="A150" s="423"/>
      <c r="B150" s="422"/>
      <c r="C150" s="422"/>
      <c r="D150" s="408"/>
    </row>
    <row r="151" spans="1:4" x14ac:dyDescent="0.2">
      <c r="A151" s="422"/>
      <c r="B151" s="422"/>
      <c r="C151" s="422"/>
      <c r="D151" s="408"/>
    </row>
    <row r="152" spans="1:4" x14ac:dyDescent="0.2">
      <c r="A152" s="422"/>
      <c r="B152" s="422"/>
      <c r="C152" s="422"/>
      <c r="D152" s="408"/>
    </row>
    <row r="153" spans="1:4" x14ac:dyDescent="0.2">
      <c r="A153" s="422"/>
      <c r="B153" s="422"/>
      <c r="C153" s="422"/>
      <c r="D153" s="408"/>
    </row>
    <row r="154" spans="1:4" x14ac:dyDescent="0.2">
      <c r="A154" s="422"/>
      <c r="B154" s="422"/>
      <c r="C154" s="422"/>
      <c r="D154" s="408"/>
    </row>
    <row r="155" spans="1:4" x14ac:dyDescent="0.2">
      <c r="A155" s="424"/>
      <c r="B155" s="422"/>
      <c r="C155" s="422"/>
      <c r="D155" s="408"/>
    </row>
    <row r="156" spans="1:4" x14ac:dyDescent="0.2">
      <c r="A156" s="424"/>
      <c r="B156" s="422"/>
      <c r="C156" s="422"/>
      <c r="D156" s="408"/>
    </row>
    <row r="157" spans="1:4" x14ac:dyDescent="0.2">
      <c r="A157" s="422"/>
      <c r="B157" s="422"/>
      <c r="C157" s="424"/>
      <c r="D157" s="426"/>
    </row>
    <row r="158" spans="1:4" x14ac:dyDescent="0.2">
      <c r="A158" s="422"/>
      <c r="B158" s="422"/>
      <c r="C158" s="422"/>
      <c r="D158" s="422"/>
    </row>
    <row r="159" spans="1:4" x14ac:dyDescent="0.2">
      <c r="A159" s="422"/>
      <c r="B159" s="422"/>
      <c r="C159" s="422"/>
      <c r="D159" s="422"/>
    </row>
    <row r="160" spans="1:4" x14ac:dyDescent="0.2">
      <c r="A160" s="423"/>
      <c r="B160" s="423"/>
      <c r="C160" s="422"/>
      <c r="D160" s="408"/>
    </row>
    <row r="161" spans="1:4" x14ac:dyDescent="0.2">
      <c r="A161" s="423"/>
      <c r="B161" s="422"/>
      <c r="C161" s="422"/>
      <c r="D161" s="408"/>
    </row>
    <row r="162" spans="1:4" x14ac:dyDescent="0.2">
      <c r="A162" s="422"/>
      <c r="B162" s="422"/>
      <c r="C162" s="422"/>
      <c r="D162" s="408"/>
    </row>
    <row r="163" spans="1:4" x14ac:dyDescent="0.2">
      <c r="A163" s="424"/>
      <c r="B163" s="422"/>
      <c r="C163" s="422"/>
      <c r="D163" s="408"/>
    </row>
    <row r="164" spans="1:4" x14ac:dyDescent="0.2">
      <c r="A164" s="424"/>
      <c r="B164" s="422"/>
      <c r="C164" s="422"/>
      <c r="D164" s="408"/>
    </row>
    <row r="165" spans="1:4" x14ac:dyDescent="0.2">
      <c r="A165" s="422"/>
      <c r="B165" s="422"/>
      <c r="C165" s="424"/>
      <c r="D165" s="426"/>
    </row>
    <row r="166" spans="1:4" x14ac:dyDescent="0.2">
      <c r="A166" s="422"/>
      <c r="B166" s="422"/>
      <c r="C166" s="422"/>
      <c r="D166" s="422"/>
    </row>
    <row r="167" spans="1:4" x14ac:dyDescent="0.2">
      <c r="A167" s="422"/>
      <c r="B167" s="423"/>
      <c r="C167" s="422"/>
      <c r="D167" s="426"/>
    </row>
    <row r="168" spans="1:4" x14ac:dyDescent="0.2">
      <c r="A168" s="422"/>
      <c r="B168" s="422"/>
      <c r="C168" s="422"/>
      <c r="D168" s="422"/>
    </row>
    <row r="169" spans="1:4" x14ac:dyDescent="0.2">
      <c r="A169" s="422"/>
      <c r="B169" s="422"/>
      <c r="C169" s="422"/>
      <c r="D169" s="422"/>
    </row>
    <row r="170" spans="1:4" x14ac:dyDescent="0.2">
      <c r="A170" s="422"/>
      <c r="B170" s="422"/>
      <c r="C170" s="422"/>
      <c r="D170" s="422"/>
    </row>
    <row r="171" spans="1:4" x14ac:dyDescent="0.2">
      <c r="A171" s="422"/>
      <c r="B171" s="422"/>
      <c r="C171" s="422"/>
      <c r="D171" s="422"/>
    </row>
    <row r="172" spans="1:4" x14ac:dyDescent="0.2">
      <c r="A172" s="422"/>
      <c r="B172" s="422"/>
      <c r="C172" s="422"/>
      <c r="D172" s="422"/>
    </row>
    <row r="173" spans="1:4" x14ac:dyDescent="0.2">
      <c r="A173" s="422"/>
      <c r="B173" s="422"/>
      <c r="C173" s="422"/>
      <c r="D173" s="422"/>
    </row>
    <row r="174" spans="1:4" x14ac:dyDescent="0.2">
      <c r="A174" s="422"/>
      <c r="B174" s="422"/>
      <c r="C174" s="422"/>
      <c r="D174" s="408"/>
    </row>
    <row r="175" spans="1:4" x14ac:dyDescent="0.2">
      <c r="A175" s="422"/>
      <c r="B175" s="422"/>
      <c r="C175" s="422"/>
      <c r="D175" s="408"/>
    </row>
    <row r="176" spans="1:4" x14ac:dyDescent="0.2">
      <c r="A176" s="422"/>
      <c r="B176" s="422"/>
      <c r="C176" s="422"/>
      <c r="D176" s="408"/>
    </row>
    <row r="177" spans="1:4" x14ac:dyDescent="0.2">
      <c r="A177" s="422"/>
      <c r="B177" s="422"/>
      <c r="C177" s="422"/>
      <c r="D177" s="408"/>
    </row>
    <row r="178" spans="1:4" x14ac:dyDescent="0.2">
      <c r="A178" s="422"/>
      <c r="B178" s="422"/>
      <c r="C178" s="422"/>
      <c r="D178" s="408"/>
    </row>
    <row r="179" spans="1:4" x14ac:dyDescent="0.2">
      <c r="A179" s="422"/>
      <c r="B179" s="422"/>
      <c r="C179" s="422"/>
      <c r="D179" s="408"/>
    </row>
    <row r="180" spans="1:4" x14ac:dyDescent="0.2">
      <c r="A180" s="422"/>
      <c r="B180" s="422"/>
      <c r="C180" s="422"/>
      <c r="D180" s="426"/>
    </row>
    <row r="181" spans="1:4" x14ac:dyDescent="0.2">
      <c r="A181" s="422"/>
      <c r="B181" s="422"/>
      <c r="C181" s="422"/>
      <c r="D181" s="422"/>
    </row>
  </sheetData>
  <mergeCells count="2">
    <mergeCell ref="A3:D3"/>
    <mergeCell ref="A115:D115"/>
  </mergeCells>
  <pageMargins left="0.19685039370078741" right="0.19685039370078741" top="0.59055118110236227" bottom="0.39370078740157483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G2" sqref="G2"/>
    </sheetView>
  </sheetViews>
  <sheetFormatPr defaultRowHeight="12.75" x14ac:dyDescent="0.2"/>
  <cols>
    <col min="1" max="1" width="15.5703125" customWidth="1"/>
    <col min="2" max="2" width="13.85546875" customWidth="1"/>
    <col min="3" max="3" width="11.85546875" customWidth="1"/>
    <col min="4" max="4" width="15.28515625" customWidth="1"/>
    <col min="5" max="5" width="11" customWidth="1"/>
    <col min="6" max="6" width="13.7109375" customWidth="1"/>
    <col min="7" max="7" width="13.140625" customWidth="1"/>
    <col min="8" max="8" width="12.85546875" customWidth="1"/>
  </cols>
  <sheetData>
    <row r="1" spans="1:9" ht="14.25" x14ac:dyDescent="0.2">
      <c r="A1" s="422"/>
      <c r="B1" s="427"/>
      <c r="C1" s="427"/>
      <c r="D1" s="427"/>
      <c r="E1" s="427"/>
      <c r="G1" t="s">
        <v>573</v>
      </c>
    </row>
    <row r="2" spans="1:9" ht="15" x14ac:dyDescent="0.25">
      <c r="A2" s="422"/>
      <c r="B2" s="427"/>
      <c r="C2" s="427"/>
      <c r="D2" s="428"/>
      <c r="E2" s="429"/>
    </row>
    <row r="4" spans="1:9" ht="13.5" thickBot="1" x14ac:dyDescent="0.25">
      <c r="I4" s="430"/>
    </row>
    <row r="5" spans="1:9" ht="15" x14ac:dyDescent="0.25">
      <c r="A5" s="540" t="s">
        <v>563</v>
      </c>
      <c r="B5" s="541"/>
      <c r="C5" s="541"/>
      <c r="D5" s="541"/>
      <c r="E5" s="541"/>
      <c r="F5" s="542"/>
      <c r="G5" s="542"/>
      <c r="H5" s="543"/>
    </row>
    <row r="6" spans="1:9" ht="15" x14ac:dyDescent="0.25">
      <c r="A6" s="431"/>
      <c r="B6" s="432" t="s">
        <v>564</v>
      </c>
      <c r="C6" s="432" t="s">
        <v>533</v>
      </c>
      <c r="D6" s="432" t="s">
        <v>565</v>
      </c>
      <c r="E6" s="432" t="s">
        <v>566</v>
      </c>
      <c r="F6" s="433" t="s">
        <v>470</v>
      </c>
      <c r="G6" s="434" t="s">
        <v>567</v>
      </c>
      <c r="H6" s="435" t="s">
        <v>165</v>
      </c>
    </row>
    <row r="7" spans="1:9" ht="15" x14ac:dyDescent="0.25">
      <c r="A7" s="431"/>
      <c r="B7" s="436"/>
      <c r="C7" s="436"/>
      <c r="D7" s="436"/>
      <c r="E7" s="436"/>
      <c r="F7" s="437"/>
      <c r="G7" s="438"/>
      <c r="H7" s="439"/>
    </row>
    <row r="8" spans="1:9" ht="14.25" x14ac:dyDescent="0.2">
      <c r="A8" s="440" t="s">
        <v>222</v>
      </c>
      <c r="B8" s="441">
        <v>126032799</v>
      </c>
      <c r="C8" s="441">
        <v>6928444</v>
      </c>
      <c r="D8" s="441">
        <v>6619605</v>
      </c>
      <c r="E8" s="441"/>
      <c r="F8" s="442">
        <v>967524</v>
      </c>
      <c r="G8" s="443"/>
      <c r="H8" s="444">
        <f>SUM(B8:G8)</f>
        <v>140548372</v>
      </c>
    </row>
    <row r="9" spans="1:9" ht="14.25" x14ac:dyDescent="0.2">
      <c r="A9" s="440" t="s">
        <v>568</v>
      </c>
      <c r="B9" s="445"/>
      <c r="C9" s="445"/>
      <c r="D9" s="441">
        <v>4826610</v>
      </c>
      <c r="E9" s="441"/>
      <c r="F9" s="442">
        <v>580644</v>
      </c>
      <c r="G9" s="443"/>
      <c r="H9" s="444">
        <f>SUM(C9:G9)</f>
        <v>5407254</v>
      </c>
    </row>
    <row r="10" spans="1:9" ht="14.25" x14ac:dyDescent="0.2">
      <c r="A10" s="440" t="s">
        <v>569</v>
      </c>
      <c r="B10" s="445">
        <v>345440</v>
      </c>
      <c r="C10" s="445"/>
      <c r="D10" s="441"/>
      <c r="E10" s="441"/>
      <c r="F10" s="442"/>
      <c r="G10" s="443"/>
      <c r="H10" s="444"/>
    </row>
    <row r="11" spans="1:9" ht="14.25" x14ac:dyDescent="0.2">
      <c r="A11" s="440" t="s">
        <v>570</v>
      </c>
      <c r="B11" s="446"/>
      <c r="C11" s="446"/>
      <c r="D11" s="447">
        <v>519879</v>
      </c>
      <c r="E11" s="441"/>
      <c r="F11" s="442"/>
      <c r="G11" s="443"/>
      <c r="H11" s="444">
        <f>SUM(D11:G11)</f>
        <v>519879</v>
      </c>
    </row>
    <row r="12" spans="1:9" ht="14.25" x14ac:dyDescent="0.2">
      <c r="A12" s="440" t="s">
        <v>571</v>
      </c>
      <c r="B12" s="441"/>
      <c r="C12" s="441"/>
      <c r="D12" s="441"/>
      <c r="E12" s="441"/>
      <c r="F12" s="442"/>
      <c r="G12" s="443"/>
      <c r="H12" s="448"/>
    </row>
    <row r="13" spans="1:9" ht="14.25" x14ac:dyDescent="0.2">
      <c r="A13" s="440"/>
      <c r="B13" s="441"/>
      <c r="C13" s="441"/>
      <c r="D13" s="441"/>
      <c r="E13" s="441"/>
      <c r="F13" s="442"/>
      <c r="G13" s="443"/>
      <c r="H13" s="448"/>
    </row>
    <row r="14" spans="1:9" ht="15" x14ac:dyDescent="0.25">
      <c r="A14" s="449" t="s">
        <v>165</v>
      </c>
      <c r="B14" s="450">
        <f>SUM(B8:B12)</f>
        <v>126378239</v>
      </c>
      <c r="C14" s="450">
        <f>SUM(C7:C13)</f>
        <v>6928444</v>
      </c>
      <c r="D14" s="450">
        <f>SUM(D8:D12)</f>
        <v>11966094</v>
      </c>
      <c r="E14" s="450">
        <v>0</v>
      </c>
      <c r="F14" s="450">
        <f>SUM(F8:F12)</f>
        <v>1548168</v>
      </c>
      <c r="G14" s="451">
        <f>SUM(G8:G13)</f>
        <v>0</v>
      </c>
      <c r="H14" s="452">
        <f>SUM(B14:G14)</f>
        <v>146820945</v>
      </c>
    </row>
    <row r="15" spans="1:9" ht="15" thickBot="1" x14ac:dyDescent="0.25">
      <c r="A15" s="453"/>
      <c r="B15" s="454"/>
      <c r="C15" s="454"/>
      <c r="D15" s="454"/>
      <c r="E15" s="454"/>
      <c r="F15" s="455"/>
      <c r="G15" s="456"/>
      <c r="H15" s="457"/>
    </row>
    <row r="16" spans="1:9" ht="15" x14ac:dyDescent="0.2">
      <c r="E16" s="458"/>
    </row>
  </sheetData>
  <mergeCells count="1">
    <mergeCell ref="A5:H5"/>
  </mergeCells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workbookViewId="0">
      <selection sqref="A1:E1"/>
    </sheetView>
  </sheetViews>
  <sheetFormatPr defaultColWidth="10.28515625" defaultRowHeight="15.75" x14ac:dyDescent="0.25"/>
  <cols>
    <col min="1" max="1" width="4" style="314" customWidth="1"/>
    <col min="2" max="2" width="4.140625" style="314" customWidth="1"/>
    <col min="3" max="3" width="48" style="314" customWidth="1"/>
    <col min="4" max="4" width="11.5703125" style="315" customWidth="1"/>
    <col min="5" max="5" width="11.28515625" style="315" customWidth="1"/>
    <col min="6" max="6" width="10" style="293" hidden="1" customWidth="1"/>
    <col min="7" max="7" width="13.28515625" style="293" hidden="1" customWidth="1"/>
    <col min="8" max="16384" width="10.28515625" style="293"/>
  </cols>
  <sheetData>
    <row r="1" spans="1:7" s="283" customFormat="1" x14ac:dyDescent="0.2">
      <c r="A1" s="544" t="s">
        <v>236</v>
      </c>
      <c r="B1" s="545"/>
      <c r="C1" s="545"/>
      <c r="D1" s="545"/>
      <c r="E1" s="546"/>
      <c r="F1" s="547"/>
      <c r="G1" s="548"/>
    </row>
    <row r="2" spans="1:7" s="283" customFormat="1" x14ac:dyDescent="0.2">
      <c r="A2" s="549" t="s">
        <v>237</v>
      </c>
      <c r="B2" s="550"/>
      <c r="C2" s="550"/>
      <c r="D2" s="550"/>
      <c r="E2" s="551"/>
    </row>
    <row r="3" spans="1:7" s="283" customFormat="1" ht="13.5" customHeight="1" x14ac:dyDescent="0.2">
      <c r="A3" s="552"/>
      <c r="B3" s="553"/>
      <c r="C3" s="554"/>
      <c r="D3" s="555">
        <v>2015</v>
      </c>
      <c r="E3" s="556"/>
    </row>
    <row r="4" spans="1:7" s="283" customFormat="1" ht="31.5" customHeight="1" thickBot="1" x14ac:dyDescent="0.25">
      <c r="A4" s="284"/>
      <c r="B4" s="285"/>
      <c r="C4" s="286" t="s">
        <v>238</v>
      </c>
      <c r="D4" s="287" t="s">
        <v>239</v>
      </c>
      <c r="E4" s="288" t="s">
        <v>465</v>
      </c>
    </row>
    <row r="5" spans="1:7" ht="13.5" customHeight="1" x14ac:dyDescent="0.25">
      <c r="A5" s="289">
        <v>1</v>
      </c>
      <c r="B5" s="290" t="s">
        <v>240</v>
      </c>
      <c r="C5" s="290" t="s">
        <v>241</v>
      </c>
      <c r="D5" s="291">
        <f>SUM(D6,D14,D22)</f>
        <v>349095</v>
      </c>
      <c r="E5" s="292">
        <f>SUM(E6,E14,E22)</f>
        <v>389459</v>
      </c>
    </row>
    <row r="6" spans="1:7" ht="13.5" customHeight="1" x14ac:dyDescent="0.25">
      <c r="A6" s="294">
        <v>2</v>
      </c>
      <c r="B6" s="295" t="s">
        <v>242</v>
      </c>
      <c r="C6" s="295" t="s">
        <v>243</v>
      </c>
      <c r="D6" s="296">
        <f>SUM(D7:D13)</f>
        <v>14498</v>
      </c>
      <c r="E6" s="297">
        <f>SUM(E7:E13)</f>
        <v>7811</v>
      </c>
    </row>
    <row r="7" spans="1:7" ht="13.5" customHeight="1" x14ac:dyDescent="0.25">
      <c r="A7" s="298">
        <f t="shared" ref="A7:A60" si="0">+A6+1</f>
        <v>3</v>
      </c>
      <c r="B7" s="299" t="s">
        <v>244</v>
      </c>
      <c r="C7" s="299" t="s">
        <v>245</v>
      </c>
      <c r="D7" s="300"/>
      <c r="E7" s="301"/>
    </row>
    <row r="8" spans="1:7" ht="13.5" customHeight="1" x14ac:dyDescent="0.25">
      <c r="A8" s="298">
        <f t="shared" si="0"/>
        <v>4</v>
      </c>
      <c r="B8" s="299" t="s">
        <v>246</v>
      </c>
      <c r="C8" s="299" t="s">
        <v>247</v>
      </c>
      <c r="D8" s="300"/>
      <c r="E8" s="301"/>
      <c r="G8" s="302"/>
    </row>
    <row r="9" spans="1:7" ht="13.5" customHeight="1" x14ac:dyDescent="0.25">
      <c r="A9" s="298">
        <f t="shared" si="0"/>
        <v>5</v>
      </c>
      <c r="B9" s="299" t="s">
        <v>248</v>
      </c>
      <c r="C9" s="299" t="s">
        <v>249</v>
      </c>
      <c r="D9" s="300">
        <v>14498</v>
      </c>
      <c r="E9" s="301">
        <v>7811</v>
      </c>
      <c r="G9" s="302"/>
    </row>
    <row r="10" spans="1:7" ht="13.5" customHeight="1" x14ac:dyDescent="0.25">
      <c r="A10" s="298">
        <f t="shared" si="0"/>
        <v>6</v>
      </c>
      <c r="B10" s="299" t="s">
        <v>250</v>
      </c>
      <c r="C10" s="299" t="s">
        <v>251</v>
      </c>
      <c r="D10" s="300"/>
      <c r="E10" s="301"/>
      <c r="G10" s="302"/>
    </row>
    <row r="11" spans="1:7" ht="13.5" customHeight="1" x14ac:dyDescent="0.25">
      <c r="A11" s="298">
        <f t="shared" si="0"/>
        <v>7</v>
      </c>
      <c r="B11" s="299" t="s">
        <v>252</v>
      </c>
      <c r="C11" s="299" t="s">
        <v>253</v>
      </c>
      <c r="D11" s="300"/>
      <c r="E11" s="301"/>
      <c r="G11" s="302"/>
    </row>
    <row r="12" spans="1:7" ht="13.5" customHeight="1" x14ac:dyDescent="0.25">
      <c r="A12" s="298">
        <f t="shared" si="0"/>
        <v>8</v>
      </c>
      <c r="B12" s="299" t="s">
        <v>254</v>
      </c>
      <c r="C12" s="299" t="s">
        <v>255</v>
      </c>
      <c r="D12" s="300"/>
      <c r="E12" s="301"/>
      <c r="G12" s="302"/>
    </row>
    <row r="13" spans="1:7" ht="13.5" customHeight="1" x14ac:dyDescent="0.25">
      <c r="A13" s="298">
        <f t="shared" si="0"/>
        <v>9</v>
      </c>
      <c r="B13" s="299" t="s">
        <v>256</v>
      </c>
      <c r="C13" s="299" t="s">
        <v>257</v>
      </c>
      <c r="D13" s="300"/>
      <c r="E13" s="301"/>
      <c r="G13" s="302"/>
    </row>
    <row r="14" spans="1:7" ht="13.5" customHeight="1" x14ac:dyDescent="0.25">
      <c r="A14" s="294">
        <f t="shared" si="0"/>
        <v>10</v>
      </c>
      <c r="B14" s="295" t="s">
        <v>258</v>
      </c>
      <c r="C14" s="295" t="s">
        <v>259</v>
      </c>
      <c r="D14" s="296">
        <f>SUM(D15:D21)</f>
        <v>334597</v>
      </c>
      <c r="E14" s="297">
        <f>SUM(E15:E21)</f>
        <v>381648</v>
      </c>
      <c r="G14" s="302"/>
    </row>
    <row r="15" spans="1:7" ht="13.5" customHeight="1" x14ac:dyDescent="0.25">
      <c r="A15" s="298">
        <f t="shared" si="0"/>
        <v>11</v>
      </c>
      <c r="B15" s="299" t="s">
        <v>260</v>
      </c>
      <c r="C15" s="299" t="s">
        <v>261</v>
      </c>
      <c r="D15" s="300">
        <v>46404</v>
      </c>
      <c r="E15" s="301">
        <v>45394</v>
      </c>
    </row>
    <row r="16" spans="1:7" ht="13.5" customHeight="1" x14ac:dyDescent="0.25">
      <c r="A16" s="298">
        <f t="shared" si="0"/>
        <v>12</v>
      </c>
      <c r="B16" s="299" t="s">
        <v>262</v>
      </c>
      <c r="C16" s="299" t="s">
        <v>263</v>
      </c>
      <c r="D16" s="300"/>
      <c r="E16" s="301"/>
    </row>
    <row r="17" spans="1:5" ht="13.5" customHeight="1" x14ac:dyDescent="0.25">
      <c r="A17" s="298">
        <f t="shared" si="0"/>
        <v>13</v>
      </c>
      <c r="B17" s="299" t="s">
        <v>264</v>
      </c>
      <c r="C17" s="299" t="s">
        <v>265</v>
      </c>
      <c r="D17" s="300">
        <v>280111</v>
      </c>
      <c r="E17" s="301">
        <v>336254</v>
      </c>
    </row>
    <row r="18" spans="1:5" ht="13.5" customHeight="1" x14ac:dyDescent="0.25">
      <c r="A18" s="298">
        <f t="shared" si="0"/>
        <v>14</v>
      </c>
      <c r="B18" s="299" t="s">
        <v>266</v>
      </c>
      <c r="C18" s="299" t="s">
        <v>267</v>
      </c>
      <c r="D18" s="300"/>
      <c r="E18" s="301"/>
    </row>
    <row r="19" spans="1:5" ht="13.5" customHeight="1" x14ac:dyDescent="0.25">
      <c r="A19" s="298">
        <f t="shared" si="0"/>
        <v>15</v>
      </c>
      <c r="B19" s="299" t="s">
        <v>268</v>
      </c>
      <c r="C19" s="299" t="s">
        <v>269</v>
      </c>
      <c r="D19" s="300">
        <v>8082</v>
      </c>
      <c r="E19" s="301">
        <v>0</v>
      </c>
    </row>
    <row r="20" spans="1:5" ht="13.5" customHeight="1" x14ac:dyDescent="0.25">
      <c r="A20" s="298">
        <f t="shared" si="0"/>
        <v>16</v>
      </c>
      <c r="B20" s="299" t="s">
        <v>270</v>
      </c>
      <c r="C20" s="299" t="s">
        <v>271</v>
      </c>
      <c r="D20" s="300"/>
      <c r="E20" s="301"/>
    </row>
    <row r="21" spans="1:5" ht="13.5" customHeight="1" x14ac:dyDescent="0.25">
      <c r="A21" s="298">
        <f t="shared" si="0"/>
        <v>17</v>
      </c>
      <c r="B21" s="299" t="s">
        <v>272</v>
      </c>
      <c r="C21" s="299" t="s">
        <v>273</v>
      </c>
      <c r="D21" s="300"/>
      <c r="E21" s="301"/>
    </row>
    <row r="22" spans="1:5" ht="13.5" customHeight="1" x14ac:dyDescent="0.25">
      <c r="A22" s="294">
        <f t="shared" si="0"/>
        <v>18</v>
      </c>
      <c r="B22" s="295" t="s">
        <v>274</v>
      </c>
      <c r="C22" s="295" t="s">
        <v>275</v>
      </c>
      <c r="D22" s="296">
        <f>SUM(D23:D30)</f>
        <v>0</v>
      </c>
      <c r="E22" s="297">
        <f>SUM(E23:E30)</f>
        <v>0</v>
      </c>
    </row>
    <row r="23" spans="1:5" ht="13.5" customHeight="1" x14ac:dyDescent="0.25">
      <c r="A23" s="298">
        <f t="shared" si="0"/>
        <v>19</v>
      </c>
      <c r="B23" s="299" t="s">
        <v>276</v>
      </c>
      <c r="C23" s="299" t="s">
        <v>277</v>
      </c>
      <c r="D23" s="300"/>
      <c r="E23" s="301"/>
    </row>
    <row r="24" spans="1:5" ht="13.5" customHeight="1" x14ac:dyDescent="0.25">
      <c r="A24" s="298">
        <f t="shared" si="0"/>
        <v>20</v>
      </c>
      <c r="B24" s="299" t="s">
        <v>278</v>
      </c>
      <c r="C24" s="299" t="s">
        <v>279</v>
      </c>
      <c r="D24" s="300"/>
      <c r="E24" s="301"/>
    </row>
    <row r="25" spans="1:5" ht="13.5" customHeight="1" x14ac:dyDescent="0.25">
      <c r="A25" s="298">
        <f t="shared" si="0"/>
        <v>21</v>
      </c>
      <c r="B25" s="299" t="s">
        <v>280</v>
      </c>
      <c r="C25" s="299" t="s">
        <v>281</v>
      </c>
      <c r="D25" s="300"/>
      <c r="E25" s="301"/>
    </row>
    <row r="26" spans="1:5" ht="13.5" customHeight="1" x14ac:dyDescent="0.25">
      <c r="A26" s="303">
        <f t="shared" si="0"/>
        <v>22</v>
      </c>
      <c r="B26" s="304" t="s">
        <v>282</v>
      </c>
      <c r="C26" s="304" t="s">
        <v>283</v>
      </c>
      <c r="D26" s="305"/>
      <c r="E26" s="306"/>
    </row>
    <row r="27" spans="1:5" ht="13.5" customHeight="1" x14ac:dyDescent="0.25">
      <c r="A27" s="298">
        <f t="shared" si="0"/>
        <v>23</v>
      </c>
      <c r="B27" s="299" t="s">
        <v>284</v>
      </c>
      <c r="C27" s="299" t="s">
        <v>285</v>
      </c>
      <c r="D27" s="300"/>
      <c r="E27" s="301"/>
    </row>
    <row r="28" spans="1:5" ht="13.5" customHeight="1" x14ac:dyDescent="0.25">
      <c r="A28" s="298">
        <f t="shared" si="0"/>
        <v>24</v>
      </c>
      <c r="B28" s="299" t="s">
        <v>286</v>
      </c>
      <c r="C28" s="299" t="s">
        <v>287</v>
      </c>
      <c r="D28" s="300"/>
      <c r="E28" s="301"/>
    </row>
    <row r="29" spans="1:5" ht="13.5" customHeight="1" x14ac:dyDescent="0.25">
      <c r="A29" s="298">
        <f t="shared" si="0"/>
        <v>25</v>
      </c>
      <c r="B29" s="299" t="s">
        <v>288</v>
      </c>
      <c r="C29" s="299" t="s">
        <v>289</v>
      </c>
      <c r="D29" s="300"/>
      <c r="E29" s="301"/>
    </row>
    <row r="30" spans="1:5" ht="13.5" customHeight="1" x14ac:dyDescent="0.25">
      <c r="A30" s="298">
        <f t="shared" si="0"/>
        <v>26</v>
      </c>
      <c r="B30" s="299" t="s">
        <v>290</v>
      </c>
      <c r="C30" s="299" t="s">
        <v>291</v>
      </c>
      <c r="D30" s="300"/>
      <c r="E30" s="301"/>
    </row>
    <row r="31" spans="1:5" ht="13.5" customHeight="1" x14ac:dyDescent="0.25">
      <c r="A31" s="289">
        <f t="shared" si="0"/>
        <v>27</v>
      </c>
      <c r="B31" s="290" t="s">
        <v>292</v>
      </c>
      <c r="C31" s="290" t="s">
        <v>293</v>
      </c>
      <c r="D31" s="296">
        <f>SUM(D32,D39,D53)</f>
        <v>37557</v>
      </c>
      <c r="E31" s="297">
        <f>SUM(E32,E39,E53)</f>
        <v>38163</v>
      </c>
    </row>
    <row r="32" spans="1:5" ht="13.5" customHeight="1" x14ac:dyDescent="0.25">
      <c r="A32" s="294">
        <f t="shared" si="0"/>
        <v>28</v>
      </c>
      <c r="B32" s="295" t="s">
        <v>294</v>
      </c>
      <c r="C32" s="295" t="s">
        <v>295</v>
      </c>
      <c r="D32" s="296">
        <f>SUM(D33)</f>
        <v>14847</v>
      </c>
      <c r="E32" s="297">
        <f>SUM(E33)</f>
        <v>19219</v>
      </c>
    </row>
    <row r="33" spans="1:7" ht="13.5" customHeight="1" x14ac:dyDescent="0.25">
      <c r="A33" s="298">
        <f t="shared" si="0"/>
        <v>29</v>
      </c>
      <c r="B33" s="299" t="s">
        <v>244</v>
      </c>
      <c r="C33" s="299" t="s">
        <v>296</v>
      </c>
      <c r="D33" s="300">
        <v>14847</v>
      </c>
      <c r="E33" s="301">
        <v>19219</v>
      </c>
    </row>
    <row r="34" spans="1:7" ht="13.5" customHeight="1" x14ac:dyDescent="0.25">
      <c r="A34" s="298">
        <f t="shared" si="0"/>
        <v>30</v>
      </c>
      <c r="B34" s="299" t="s">
        <v>246</v>
      </c>
      <c r="C34" s="299" t="s">
        <v>297</v>
      </c>
      <c r="D34" s="300"/>
      <c r="E34" s="301"/>
    </row>
    <row r="35" spans="1:7" ht="13.5" customHeight="1" x14ac:dyDescent="0.25">
      <c r="A35" s="298">
        <f t="shared" si="0"/>
        <v>31</v>
      </c>
      <c r="B35" s="299" t="s">
        <v>248</v>
      </c>
      <c r="C35" s="299" t="s">
        <v>298</v>
      </c>
      <c r="D35" s="300"/>
      <c r="E35" s="301"/>
    </row>
    <row r="36" spans="1:7" ht="13.5" customHeight="1" x14ac:dyDescent="0.25">
      <c r="A36" s="298">
        <f t="shared" si="0"/>
        <v>32</v>
      </c>
      <c r="B36" s="299" t="s">
        <v>250</v>
      </c>
      <c r="C36" s="299" t="s">
        <v>299</v>
      </c>
      <c r="D36" s="300"/>
      <c r="E36" s="301"/>
    </row>
    <row r="37" spans="1:7" ht="13.5" customHeight="1" x14ac:dyDescent="0.25">
      <c r="A37" s="298">
        <f t="shared" si="0"/>
        <v>33</v>
      </c>
      <c r="B37" s="299" t="s">
        <v>252</v>
      </c>
      <c r="C37" s="299" t="s">
        <v>300</v>
      </c>
      <c r="D37" s="300"/>
      <c r="E37" s="301"/>
    </row>
    <row r="38" spans="1:7" ht="13.5" customHeight="1" x14ac:dyDescent="0.25">
      <c r="A38" s="298">
        <f t="shared" si="0"/>
        <v>34</v>
      </c>
      <c r="B38" s="299" t="s">
        <v>254</v>
      </c>
      <c r="C38" s="299" t="s">
        <v>301</v>
      </c>
      <c r="D38" s="300"/>
      <c r="E38" s="301"/>
    </row>
    <row r="39" spans="1:7" ht="13.5" customHeight="1" x14ac:dyDescent="0.25">
      <c r="A39" s="294">
        <f t="shared" si="0"/>
        <v>35</v>
      </c>
      <c r="B39" s="295" t="s">
        <v>258</v>
      </c>
      <c r="C39" s="295" t="s">
        <v>302</v>
      </c>
      <c r="D39" s="296">
        <f>SUM(D40:D46)</f>
        <v>5376</v>
      </c>
      <c r="E39" s="297">
        <f>SUM(E40:E46)</f>
        <v>8089</v>
      </c>
    </row>
    <row r="40" spans="1:7" ht="13.5" customHeight="1" x14ac:dyDescent="0.25">
      <c r="A40" s="298">
        <f t="shared" si="0"/>
        <v>36</v>
      </c>
      <c r="B40" s="299" t="s">
        <v>260</v>
      </c>
      <c r="C40" s="299" t="s">
        <v>303</v>
      </c>
      <c r="D40" s="300">
        <v>3426</v>
      </c>
      <c r="E40" s="301">
        <v>2987</v>
      </c>
    </row>
    <row r="41" spans="1:7" ht="13.5" customHeight="1" x14ac:dyDescent="0.25">
      <c r="A41" s="298">
        <f t="shared" si="0"/>
        <v>37</v>
      </c>
      <c r="B41" s="299" t="s">
        <v>262</v>
      </c>
      <c r="C41" s="299" t="s">
        <v>304</v>
      </c>
      <c r="D41" s="300"/>
      <c r="E41" s="301"/>
    </row>
    <row r="42" spans="1:7" ht="13.5" customHeight="1" x14ac:dyDescent="0.25">
      <c r="A42" s="298">
        <f t="shared" si="0"/>
        <v>38</v>
      </c>
      <c r="B42" s="299" t="s">
        <v>264</v>
      </c>
      <c r="C42" s="307" t="s">
        <v>305</v>
      </c>
      <c r="D42" s="300"/>
      <c r="E42" s="301"/>
    </row>
    <row r="43" spans="1:7" ht="13.5" customHeight="1" x14ac:dyDescent="0.25">
      <c r="A43" s="298">
        <f t="shared" si="0"/>
        <v>39</v>
      </c>
      <c r="B43" s="299" t="s">
        <v>266</v>
      </c>
      <c r="C43" s="299" t="s">
        <v>306</v>
      </c>
      <c r="D43" s="300"/>
      <c r="E43" s="301"/>
    </row>
    <row r="44" spans="1:7" ht="13.5" customHeight="1" x14ac:dyDescent="0.25">
      <c r="A44" s="298">
        <f t="shared" si="0"/>
        <v>40</v>
      </c>
      <c r="B44" s="299" t="s">
        <v>268</v>
      </c>
      <c r="C44" s="299" t="s">
        <v>307</v>
      </c>
      <c r="D44" s="300">
        <v>1950</v>
      </c>
      <c r="E44" s="301">
        <v>5102</v>
      </c>
    </row>
    <row r="45" spans="1:7" ht="13.5" customHeight="1" x14ac:dyDescent="0.25">
      <c r="A45" s="298">
        <f t="shared" si="0"/>
        <v>41</v>
      </c>
      <c r="B45" s="299" t="s">
        <v>270</v>
      </c>
      <c r="C45" s="299" t="s">
        <v>308</v>
      </c>
      <c r="D45" s="300"/>
      <c r="E45" s="301"/>
    </row>
    <row r="46" spans="1:7" ht="13.5" customHeight="1" x14ac:dyDescent="0.25">
      <c r="A46" s="298">
        <f t="shared" si="0"/>
        <v>42</v>
      </c>
      <c r="B46" s="299" t="s">
        <v>272</v>
      </c>
      <c r="C46" s="299" t="s">
        <v>309</v>
      </c>
      <c r="D46" s="300"/>
      <c r="E46" s="301"/>
      <c r="G46" s="302"/>
    </row>
    <row r="47" spans="1:7" ht="13.5" customHeight="1" x14ac:dyDescent="0.25">
      <c r="A47" s="294">
        <f t="shared" si="0"/>
        <v>43</v>
      </c>
      <c r="B47" s="295" t="s">
        <v>274</v>
      </c>
      <c r="C47" s="295" t="s">
        <v>310</v>
      </c>
      <c r="D47" s="296"/>
      <c r="E47" s="297"/>
    </row>
    <row r="48" spans="1:7" ht="13.5" customHeight="1" x14ac:dyDescent="0.25">
      <c r="A48" s="298">
        <f t="shared" si="0"/>
        <v>44</v>
      </c>
      <c r="B48" s="299" t="s">
        <v>276</v>
      </c>
      <c r="C48" s="299" t="s">
        <v>311</v>
      </c>
      <c r="D48" s="300"/>
      <c r="E48" s="301"/>
    </row>
    <row r="49" spans="1:5" ht="13.5" customHeight="1" x14ac:dyDescent="0.25">
      <c r="A49" s="298">
        <f t="shared" si="0"/>
        <v>45</v>
      </c>
      <c r="B49" s="299" t="s">
        <v>278</v>
      </c>
      <c r="C49" s="299" t="s">
        <v>312</v>
      </c>
      <c r="D49" s="300"/>
      <c r="E49" s="301"/>
    </row>
    <row r="50" spans="1:5" ht="13.5" customHeight="1" x14ac:dyDescent="0.25">
      <c r="A50" s="298">
        <f t="shared" si="0"/>
        <v>46</v>
      </c>
      <c r="B50" s="299" t="s">
        <v>280</v>
      </c>
      <c r="C50" s="299" t="s">
        <v>313</v>
      </c>
      <c r="D50" s="300"/>
      <c r="E50" s="301"/>
    </row>
    <row r="51" spans="1:5" ht="13.5" customHeight="1" x14ac:dyDescent="0.25">
      <c r="A51" s="298">
        <f t="shared" si="0"/>
        <v>47</v>
      </c>
      <c r="B51" s="299" t="s">
        <v>282</v>
      </c>
      <c r="C51" s="299" t="s">
        <v>314</v>
      </c>
      <c r="D51" s="300"/>
      <c r="E51" s="301"/>
    </row>
    <row r="52" spans="1:5" ht="13.5" customHeight="1" x14ac:dyDescent="0.25">
      <c r="A52" s="298">
        <f t="shared" si="0"/>
        <v>48</v>
      </c>
      <c r="B52" s="299" t="s">
        <v>284</v>
      </c>
      <c r="C52" s="299" t="s">
        <v>315</v>
      </c>
      <c r="D52" s="300"/>
      <c r="E52" s="301"/>
    </row>
    <row r="53" spans="1:5" ht="13.5" customHeight="1" x14ac:dyDescent="0.25">
      <c r="A53" s="294">
        <f t="shared" si="0"/>
        <v>49</v>
      </c>
      <c r="B53" s="295" t="s">
        <v>316</v>
      </c>
      <c r="C53" s="295" t="s">
        <v>317</v>
      </c>
      <c r="D53" s="296">
        <f>SUM(D54:D55)</f>
        <v>17334</v>
      </c>
      <c r="E53" s="297">
        <f>SUM(E54:E55)</f>
        <v>10855</v>
      </c>
    </row>
    <row r="54" spans="1:5" ht="13.5" customHeight="1" x14ac:dyDescent="0.25">
      <c r="A54" s="298">
        <f t="shared" si="0"/>
        <v>50</v>
      </c>
      <c r="B54" s="299" t="s">
        <v>318</v>
      </c>
      <c r="C54" s="299" t="s">
        <v>319</v>
      </c>
      <c r="D54" s="300">
        <v>70</v>
      </c>
      <c r="E54" s="301">
        <v>74</v>
      </c>
    </row>
    <row r="55" spans="1:5" ht="13.5" customHeight="1" x14ac:dyDescent="0.25">
      <c r="A55" s="298">
        <f t="shared" si="0"/>
        <v>51</v>
      </c>
      <c r="B55" s="299" t="s">
        <v>320</v>
      </c>
      <c r="C55" s="299" t="s">
        <v>321</v>
      </c>
      <c r="D55" s="300">
        <v>17264</v>
      </c>
      <c r="E55" s="301">
        <v>10781</v>
      </c>
    </row>
    <row r="56" spans="1:5" ht="13.5" customHeight="1" x14ac:dyDescent="0.25">
      <c r="A56" s="289">
        <f t="shared" si="0"/>
        <v>52</v>
      </c>
      <c r="B56" s="290" t="s">
        <v>322</v>
      </c>
      <c r="C56" s="290" t="s">
        <v>323</v>
      </c>
      <c r="D56" s="296">
        <f>SUM(D57:D58)</f>
        <v>169360</v>
      </c>
      <c r="E56" s="297">
        <f>SUM(E57:E58)</f>
        <v>178413</v>
      </c>
    </row>
    <row r="57" spans="1:5" ht="13.5" customHeight="1" x14ac:dyDescent="0.25">
      <c r="A57" s="308">
        <f t="shared" si="0"/>
        <v>53</v>
      </c>
      <c r="B57" s="299" t="s">
        <v>324</v>
      </c>
      <c r="C57" s="299" t="s">
        <v>325</v>
      </c>
      <c r="D57" s="300">
        <v>167675</v>
      </c>
      <c r="E57" s="301">
        <v>175428</v>
      </c>
    </row>
    <row r="58" spans="1:5" ht="13.5" customHeight="1" x14ac:dyDescent="0.25">
      <c r="A58" s="308">
        <f t="shared" si="0"/>
        <v>54</v>
      </c>
      <c r="B58" s="299" t="s">
        <v>326</v>
      </c>
      <c r="C58" s="299" t="s">
        <v>327</v>
      </c>
      <c r="D58" s="300">
        <v>1685</v>
      </c>
      <c r="E58" s="301">
        <v>2985</v>
      </c>
    </row>
    <row r="59" spans="1:5" ht="13.5" customHeight="1" x14ac:dyDescent="0.25">
      <c r="A59" s="308">
        <f t="shared" si="0"/>
        <v>55</v>
      </c>
      <c r="B59" s="299" t="s">
        <v>328</v>
      </c>
      <c r="C59" s="299" t="s">
        <v>329</v>
      </c>
      <c r="D59" s="300"/>
      <c r="E59" s="301"/>
    </row>
    <row r="60" spans="1:5" ht="13.5" customHeight="1" thickBot="1" x14ac:dyDescent="0.3">
      <c r="A60" s="309">
        <f t="shared" si="0"/>
        <v>56</v>
      </c>
      <c r="B60" s="310"/>
      <c r="C60" s="311" t="s">
        <v>330</v>
      </c>
      <c r="D60" s="312">
        <f>SUM(D5,D31,D56)</f>
        <v>556012</v>
      </c>
      <c r="E60" s="313">
        <f>SUM(E5,E31,E56)</f>
        <v>606035</v>
      </c>
    </row>
  </sheetData>
  <mergeCells count="5">
    <mergeCell ref="A1:E1"/>
    <mergeCell ref="F1:G1"/>
    <mergeCell ref="A2:E2"/>
    <mergeCell ref="A3:C3"/>
    <mergeCell ref="D3:E3"/>
  </mergeCells>
  <pageMargins left="0.43307086614173229" right="0.27559055118110237" top="0.11811023622047245" bottom="0.23622047244094491" header="0.19685039370078741" footer="0.23622047244094491"/>
  <pageSetup paperSize="9" orientation="portrait" r:id="rId1"/>
  <headerFooter alignWithMargins="0">
    <oddHeader>&amp;R&amp;8 13.a melléklet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workbookViewId="0">
      <selection activeCell="G1" sqref="G1"/>
    </sheetView>
  </sheetViews>
  <sheetFormatPr defaultColWidth="10.28515625" defaultRowHeight="15.75" x14ac:dyDescent="0.25"/>
  <cols>
    <col min="1" max="1" width="4" style="314" customWidth="1"/>
    <col min="2" max="2" width="4.140625" style="314" customWidth="1"/>
    <col min="3" max="3" width="48" style="314" customWidth="1"/>
    <col min="4" max="4" width="11.7109375" style="315" customWidth="1"/>
    <col min="5" max="5" width="11.5703125" style="315" customWidth="1"/>
    <col min="6" max="6" width="10.28515625" style="293" customWidth="1"/>
    <col min="7" max="7" width="11.28515625" style="293" bestFit="1" customWidth="1"/>
    <col min="8" max="10" width="10.28515625" style="293" customWidth="1"/>
    <col min="11" max="11" width="11.28515625" style="293" bestFit="1" customWidth="1"/>
    <col min="12" max="16384" width="10.28515625" style="293"/>
  </cols>
  <sheetData>
    <row r="1" spans="1:5" x14ac:dyDescent="0.25">
      <c r="A1" s="544" t="s">
        <v>236</v>
      </c>
      <c r="B1" s="545"/>
      <c r="C1" s="545"/>
      <c r="D1" s="545"/>
      <c r="E1" s="546"/>
    </row>
    <row r="2" spans="1:5" ht="12.75" customHeight="1" x14ac:dyDescent="0.25">
      <c r="A2" s="557" t="s">
        <v>331</v>
      </c>
      <c r="B2" s="558"/>
      <c r="C2" s="558"/>
      <c r="D2" s="558"/>
      <c r="E2" s="559"/>
    </row>
    <row r="3" spans="1:5" ht="13.5" customHeight="1" x14ac:dyDescent="0.25">
      <c r="A3" s="560"/>
      <c r="B3" s="561"/>
      <c r="C3" s="562"/>
      <c r="D3" s="555">
        <v>2015</v>
      </c>
      <c r="E3" s="556"/>
    </row>
    <row r="4" spans="1:5" s="283" customFormat="1" ht="28.5" customHeight="1" thickBot="1" x14ac:dyDescent="0.25">
      <c r="A4" s="284"/>
      <c r="B4" s="285"/>
      <c r="C4" s="286" t="s">
        <v>238</v>
      </c>
      <c r="D4" s="287" t="s">
        <v>239</v>
      </c>
      <c r="E4" s="380" t="s">
        <v>454</v>
      </c>
    </row>
    <row r="5" spans="1:5" ht="13.5" customHeight="1" x14ac:dyDescent="0.25">
      <c r="A5" s="289">
        <v>57</v>
      </c>
      <c r="B5" s="290" t="s">
        <v>332</v>
      </c>
      <c r="C5" s="290" t="s">
        <v>333</v>
      </c>
      <c r="D5" s="316">
        <f>SUM(D6:D15)</f>
        <v>201224</v>
      </c>
      <c r="E5" s="317">
        <f>SUM(E6:E15)</f>
        <v>185736</v>
      </c>
    </row>
    <row r="6" spans="1:5" ht="12.75" customHeight="1" x14ac:dyDescent="0.25">
      <c r="A6" s="318">
        <f t="shared" ref="A6:A39" si="0">+A5+1</f>
        <v>58</v>
      </c>
      <c r="B6" s="319" t="s">
        <v>242</v>
      </c>
      <c r="C6" s="319" t="s">
        <v>334</v>
      </c>
      <c r="D6" s="320">
        <v>407600</v>
      </c>
      <c r="E6" s="321">
        <v>5000</v>
      </c>
    </row>
    <row r="7" spans="1:5" ht="13.5" customHeight="1" x14ac:dyDescent="0.25">
      <c r="A7" s="298">
        <f t="shared" si="0"/>
        <v>59</v>
      </c>
      <c r="B7" s="299"/>
      <c r="C7" s="299" t="s">
        <v>335</v>
      </c>
      <c r="D7" s="300"/>
      <c r="E7" s="301"/>
    </row>
    <row r="8" spans="1:5" ht="14.25" customHeight="1" x14ac:dyDescent="0.25">
      <c r="A8" s="298">
        <f t="shared" si="0"/>
        <v>60</v>
      </c>
      <c r="B8" s="299" t="s">
        <v>258</v>
      </c>
      <c r="C8" s="299" t="s">
        <v>336</v>
      </c>
      <c r="D8" s="300"/>
      <c r="E8" s="301"/>
    </row>
    <row r="9" spans="1:5" x14ac:dyDescent="0.25">
      <c r="A9" s="298">
        <f t="shared" si="0"/>
        <v>61</v>
      </c>
      <c r="B9" s="299" t="s">
        <v>274</v>
      </c>
      <c r="C9" s="299" t="s">
        <v>337</v>
      </c>
      <c r="D9" s="300">
        <v>122752</v>
      </c>
      <c r="E9" s="301">
        <v>122752</v>
      </c>
    </row>
    <row r="10" spans="1:5" x14ac:dyDescent="0.25">
      <c r="A10" s="298">
        <f t="shared" si="0"/>
        <v>62</v>
      </c>
      <c r="B10" s="299" t="s">
        <v>338</v>
      </c>
      <c r="C10" s="299" t="s">
        <v>339</v>
      </c>
      <c r="D10" s="300">
        <v>-287750</v>
      </c>
      <c r="E10" s="301">
        <v>73472</v>
      </c>
    </row>
    <row r="11" spans="1:5" x14ac:dyDescent="0.25">
      <c r="A11" s="298">
        <f t="shared" si="0"/>
        <v>63</v>
      </c>
      <c r="B11" s="299" t="s">
        <v>340</v>
      </c>
      <c r="C11" s="299" t="s">
        <v>341</v>
      </c>
      <c r="D11" s="300"/>
      <c r="E11" s="301"/>
    </row>
    <row r="12" spans="1:5" x14ac:dyDescent="0.25">
      <c r="A12" s="298">
        <f t="shared" si="0"/>
        <v>64</v>
      </c>
      <c r="B12" s="299" t="s">
        <v>342</v>
      </c>
      <c r="C12" s="299" t="s">
        <v>343</v>
      </c>
      <c r="D12" s="300"/>
      <c r="E12" s="301"/>
    </row>
    <row r="13" spans="1:5" x14ac:dyDescent="0.25">
      <c r="A13" s="298">
        <f t="shared" si="0"/>
        <v>65</v>
      </c>
      <c r="B13" s="299" t="s">
        <v>344</v>
      </c>
      <c r="C13" s="299" t="s">
        <v>345</v>
      </c>
      <c r="D13" s="300"/>
      <c r="E13" s="301"/>
    </row>
    <row r="14" spans="1:5" x14ac:dyDescent="0.25">
      <c r="A14" s="298">
        <f t="shared" si="0"/>
        <v>66</v>
      </c>
      <c r="B14" s="299" t="s">
        <v>346</v>
      </c>
      <c r="C14" s="299" t="s">
        <v>347</v>
      </c>
      <c r="D14" s="296"/>
      <c r="E14" s="297"/>
    </row>
    <row r="15" spans="1:5" x14ac:dyDescent="0.25">
      <c r="A15" s="298">
        <f t="shared" si="0"/>
        <v>67</v>
      </c>
      <c r="B15" s="299" t="s">
        <v>348</v>
      </c>
      <c r="C15" s="299" t="s">
        <v>349</v>
      </c>
      <c r="D15" s="300">
        <v>-41378</v>
      </c>
      <c r="E15" s="301">
        <v>-15488</v>
      </c>
    </row>
    <row r="16" spans="1:5" x14ac:dyDescent="0.25">
      <c r="A16" s="289">
        <f t="shared" si="0"/>
        <v>68</v>
      </c>
      <c r="B16" s="290" t="s">
        <v>350</v>
      </c>
      <c r="C16" s="290" t="s">
        <v>351</v>
      </c>
      <c r="D16" s="300"/>
      <c r="E16" s="301"/>
    </row>
    <row r="17" spans="1:5" x14ac:dyDescent="0.25">
      <c r="A17" s="298">
        <f t="shared" si="0"/>
        <v>69</v>
      </c>
      <c r="B17" s="299" t="s">
        <v>352</v>
      </c>
      <c r="C17" s="299" t="s">
        <v>353</v>
      </c>
      <c r="D17" s="300"/>
      <c r="E17" s="301"/>
    </row>
    <row r="18" spans="1:5" x14ac:dyDescent="0.25">
      <c r="A18" s="298">
        <f t="shared" si="0"/>
        <v>70</v>
      </c>
      <c r="B18" s="299" t="s">
        <v>354</v>
      </c>
      <c r="C18" s="299" t="s">
        <v>355</v>
      </c>
      <c r="D18" s="300"/>
      <c r="E18" s="301"/>
    </row>
    <row r="19" spans="1:5" x14ac:dyDescent="0.25">
      <c r="A19" s="298">
        <f t="shared" si="0"/>
        <v>71</v>
      </c>
      <c r="B19" s="299" t="s">
        <v>356</v>
      </c>
      <c r="C19" s="299" t="s">
        <v>357</v>
      </c>
      <c r="D19" s="300"/>
      <c r="E19" s="301"/>
    </row>
    <row r="20" spans="1:5" x14ac:dyDescent="0.25">
      <c r="A20" s="289">
        <f t="shared" si="0"/>
        <v>72</v>
      </c>
      <c r="B20" s="290" t="s">
        <v>358</v>
      </c>
      <c r="C20" s="290" t="s">
        <v>359</v>
      </c>
      <c r="D20" s="322">
        <f>SUM(D21,D25,D34)</f>
        <v>85107</v>
      </c>
      <c r="E20" s="323">
        <f>SUM(E21,E25,E34)</f>
        <v>90309</v>
      </c>
    </row>
    <row r="21" spans="1:5" x14ac:dyDescent="0.25">
      <c r="A21" s="308">
        <f t="shared" si="0"/>
        <v>73</v>
      </c>
      <c r="B21" s="295" t="s">
        <v>242</v>
      </c>
      <c r="C21" s="295" t="s">
        <v>360</v>
      </c>
      <c r="D21" s="300"/>
      <c r="E21" s="301"/>
    </row>
    <row r="22" spans="1:5" x14ac:dyDescent="0.25">
      <c r="A22" s="298">
        <f t="shared" si="0"/>
        <v>74</v>
      </c>
      <c r="B22" s="324" t="s">
        <v>244</v>
      </c>
      <c r="C22" s="324" t="s">
        <v>361</v>
      </c>
      <c r="D22" s="296"/>
      <c r="E22" s="297"/>
    </row>
    <row r="23" spans="1:5" ht="27" x14ac:dyDescent="0.25">
      <c r="A23" s="325">
        <f t="shared" si="0"/>
        <v>75</v>
      </c>
      <c r="B23" s="326" t="s">
        <v>246</v>
      </c>
      <c r="C23" s="304" t="s">
        <v>362</v>
      </c>
      <c r="D23" s="300"/>
      <c r="E23" s="301"/>
    </row>
    <row r="24" spans="1:5" x14ac:dyDescent="0.25">
      <c r="A24" s="298">
        <f t="shared" si="0"/>
        <v>76</v>
      </c>
      <c r="B24" s="324" t="s">
        <v>248</v>
      </c>
      <c r="C24" s="324" t="s">
        <v>363</v>
      </c>
      <c r="D24" s="300"/>
      <c r="E24" s="301"/>
    </row>
    <row r="25" spans="1:5" x14ac:dyDescent="0.25">
      <c r="A25" s="308">
        <f t="shared" si="0"/>
        <v>77</v>
      </c>
      <c r="B25" s="295" t="s">
        <v>258</v>
      </c>
      <c r="C25" s="295" t="s">
        <v>364</v>
      </c>
      <c r="D25" s="327"/>
      <c r="E25" s="328"/>
    </row>
    <row r="26" spans="1:5" x14ac:dyDescent="0.25">
      <c r="A26" s="298">
        <f t="shared" si="0"/>
        <v>78</v>
      </c>
      <c r="B26" s="324" t="s">
        <v>260</v>
      </c>
      <c r="C26" s="324" t="s">
        <v>365</v>
      </c>
      <c r="D26" s="305"/>
      <c r="E26" s="306"/>
    </row>
    <row r="27" spans="1:5" x14ac:dyDescent="0.25">
      <c r="A27" s="298">
        <f t="shared" si="0"/>
        <v>79</v>
      </c>
      <c r="B27" s="324" t="s">
        <v>262</v>
      </c>
      <c r="C27" s="324" t="s">
        <v>366</v>
      </c>
      <c r="D27" s="300"/>
      <c r="E27" s="301"/>
    </row>
    <row r="28" spans="1:5" x14ac:dyDescent="0.25">
      <c r="A28" s="298">
        <f t="shared" si="0"/>
        <v>80</v>
      </c>
      <c r="B28" s="324" t="s">
        <v>264</v>
      </c>
      <c r="C28" s="324" t="s">
        <v>367</v>
      </c>
      <c r="D28" s="300"/>
      <c r="E28" s="301"/>
    </row>
    <row r="29" spans="1:5" x14ac:dyDescent="0.25">
      <c r="A29" s="298">
        <f t="shared" si="0"/>
        <v>81</v>
      </c>
      <c r="B29" s="324" t="s">
        <v>266</v>
      </c>
      <c r="C29" s="324" t="s">
        <v>368</v>
      </c>
      <c r="D29" s="300"/>
      <c r="E29" s="301"/>
    </row>
    <row r="30" spans="1:5" x14ac:dyDescent="0.25">
      <c r="A30" s="298">
        <f t="shared" si="0"/>
        <v>82</v>
      </c>
      <c r="B30" s="324" t="s">
        <v>268</v>
      </c>
      <c r="C30" s="324" t="s">
        <v>369</v>
      </c>
      <c r="D30" s="300"/>
      <c r="E30" s="301"/>
    </row>
    <row r="31" spans="1:5" x14ac:dyDescent="0.25">
      <c r="A31" s="298">
        <f t="shared" si="0"/>
        <v>83</v>
      </c>
      <c r="B31" s="324" t="s">
        <v>270</v>
      </c>
      <c r="C31" s="324" t="s">
        <v>370</v>
      </c>
      <c r="D31" s="296"/>
      <c r="E31" s="297"/>
    </row>
    <row r="32" spans="1:5" ht="27" x14ac:dyDescent="0.25">
      <c r="A32" s="325">
        <f t="shared" si="0"/>
        <v>84</v>
      </c>
      <c r="B32" s="326" t="s">
        <v>272</v>
      </c>
      <c r="C32" s="304" t="s">
        <v>371</v>
      </c>
      <c r="D32" s="296"/>
      <c r="E32" s="297"/>
    </row>
    <row r="33" spans="1:11" x14ac:dyDescent="0.25">
      <c r="A33" s="298">
        <f t="shared" si="0"/>
        <v>85</v>
      </c>
      <c r="B33" s="324" t="s">
        <v>372</v>
      </c>
      <c r="C33" s="324" t="s">
        <v>373</v>
      </c>
      <c r="D33" s="300"/>
      <c r="E33" s="301"/>
    </row>
    <row r="34" spans="1:11" x14ac:dyDescent="0.25">
      <c r="A34" s="308">
        <f t="shared" si="0"/>
        <v>86</v>
      </c>
      <c r="B34" s="295" t="s">
        <v>274</v>
      </c>
      <c r="C34" s="295" t="s">
        <v>374</v>
      </c>
      <c r="D34" s="329">
        <f>SUM(D35:D46)</f>
        <v>85107</v>
      </c>
      <c r="E34" s="330">
        <f>SUM(E35:E46)</f>
        <v>90309</v>
      </c>
    </row>
    <row r="35" spans="1:11" x14ac:dyDescent="0.25">
      <c r="A35" s="298">
        <f t="shared" si="0"/>
        <v>87</v>
      </c>
      <c r="B35" s="324" t="s">
        <v>276</v>
      </c>
      <c r="C35" s="324" t="s">
        <v>375</v>
      </c>
      <c r="D35" s="300"/>
      <c r="E35" s="301"/>
    </row>
    <row r="36" spans="1:11" x14ac:dyDescent="0.25">
      <c r="A36" s="298">
        <f t="shared" si="0"/>
        <v>88</v>
      </c>
      <c r="B36" s="324"/>
      <c r="C36" s="324" t="s">
        <v>376</v>
      </c>
      <c r="D36" s="300"/>
      <c r="E36" s="301"/>
    </row>
    <row r="37" spans="1:11" x14ac:dyDescent="0.25">
      <c r="A37" s="298">
        <f t="shared" si="0"/>
        <v>89</v>
      </c>
      <c r="B37" s="324" t="s">
        <v>278</v>
      </c>
      <c r="C37" s="324" t="s">
        <v>377</v>
      </c>
      <c r="D37" s="300"/>
      <c r="E37" s="301"/>
    </row>
    <row r="38" spans="1:11" x14ac:dyDescent="0.25">
      <c r="A38" s="298">
        <f t="shared" si="0"/>
        <v>90</v>
      </c>
      <c r="B38" s="324" t="s">
        <v>280</v>
      </c>
      <c r="C38" s="324" t="s">
        <v>378</v>
      </c>
      <c r="D38" s="300"/>
      <c r="E38" s="301"/>
    </row>
    <row r="39" spans="1:11" x14ac:dyDescent="0.25">
      <c r="A39" s="298">
        <f t="shared" si="0"/>
        <v>91</v>
      </c>
      <c r="B39" s="324" t="s">
        <v>282</v>
      </c>
      <c r="C39" s="324" t="s">
        <v>379</v>
      </c>
      <c r="D39" s="320">
        <v>37327</v>
      </c>
      <c r="E39" s="321">
        <v>39354</v>
      </c>
      <c r="G39" s="302"/>
    </row>
    <row r="40" spans="1:11" x14ac:dyDescent="0.25">
      <c r="A40" s="298"/>
      <c r="B40" s="324"/>
      <c r="C40" s="324" t="s">
        <v>380</v>
      </c>
      <c r="D40" s="320"/>
      <c r="E40" s="321"/>
      <c r="G40" s="302"/>
    </row>
    <row r="41" spans="1:11" x14ac:dyDescent="0.25">
      <c r="A41" s="298">
        <f>+A39+1</f>
        <v>92</v>
      </c>
      <c r="B41" s="324" t="s">
        <v>284</v>
      </c>
      <c r="C41" s="324" t="s">
        <v>381</v>
      </c>
      <c r="D41" s="300"/>
      <c r="E41" s="301"/>
      <c r="G41" s="302"/>
    </row>
    <row r="42" spans="1:11" x14ac:dyDescent="0.25">
      <c r="A42" s="298">
        <f t="shared" ref="A42:A51" si="1">+A41+1</f>
        <v>93</v>
      </c>
      <c r="B42" s="324" t="s">
        <v>286</v>
      </c>
      <c r="C42" s="324" t="s">
        <v>382</v>
      </c>
      <c r="D42" s="300"/>
      <c r="E42" s="301"/>
    </row>
    <row r="43" spans="1:11" ht="27" x14ac:dyDescent="0.25">
      <c r="A43" s="325">
        <f t="shared" si="1"/>
        <v>94</v>
      </c>
      <c r="B43" s="326" t="s">
        <v>288</v>
      </c>
      <c r="C43" s="304" t="s">
        <v>383</v>
      </c>
      <c r="D43" s="300"/>
      <c r="E43" s="301"/>
    </row>
    <row r="44" spans="1:11" ht="13.5" customHeight="1" x14ac:dyDescent="0.25">
      <c r="A44" s="325">
        <f t="shared" si="1"/>
        <v>95</v>
      </c>
      <c r="B44" s="324" t="s">
        <v>290</v>
      </c>
      <c r="C44" s="324" t="s">
        <v>384</v>
      </c>
      <c r="D44" s="300">
        <v>47780</v>
      </c>
      <c r="E44" s="301">
        <v>50955</v>
      </c>
    </row>
    <row r="45" spans="1:11" ht="12.75" customHeight="1" x14ac:dyDescent="0.25">
      <c r="A45" s="325">
        <f t="shared" si="1"/>
        <v>96</v>
      </c>
      <c r="B45" s="324" t="s">
        <v>385</v>
      </c>
      <c r="C45" s="324" t="s">
        <v>386</v>
      </c>
      <c r="D45" s="300"/>
      <c r="E45" s="301"/>
      <c r="K45" s="302"/>
    </row>
    <row r="46" spans="1:11" x14ac:dyDescent="0.25">
      <c r="A46" s="298">
        <f t="shared" si="1"/>
        <v>97</v>
      </c>
      <c r="B46" s="324" t="s">
        <v>387</v>
      </c>
      <c r="C46" s="324" t="s">
        <v>388</v>
      </c>
      <c r="D46" s="300"/>
      <c r="E46" s="301"/>
    </row>
    <row r="47" spans="1:11" x14ac:dyDescent="0.25">
      <c r="A47" s="289">
        <f t="shared" si="1"/>
        <v>98</v>
      </c>
      <c r="B47" s="331" t="s">
        <v>389</v>
      </c>
      <c r="C47" s="290" t="s">
        <v>390</v>
      </c>
      <c r="D47" s="329">
        <f>SUM(D48:D50)</f>
        <v>269681</v>
      </c>
      <c r="E47" s="330">
        <f>SUM(E48:E50)</f>
        <v>329990</v>
      </c>
    </row>
    <row r="48" spans="1:11" x14ac:dyDescent="0.25">
      <c r="A48" s="308">
        <f t="shared" si="1"/>
        <v>99</v>
      </c>
      <c r="B48" s="324" t="s">
        <v>391</v>
      </c>
      <c r="C48" s="324" t="s">
        <v>392</v>
      </c>
      <c r="D48" s="320">
        <v>438</v>
      </c>
      <c r="E48" s="321">
        <v>413</v>
      </c>
    </row>
    <row r="49" spans="1:8" x14ac:dyDescent="0.25">
      <c r="A49" s="308">
        <f t="shared" si="1"/>
        <v>100</v>
      </c>
      <c r="B49" s="324" t="s">
        <v>393</v>
      </c>
      <c r="C49" s="324" t="s">
        <v>394</v>
      </c>
      <c r="D49" s="300">
        <v>24827</v>
      </c>
      <c r="E49" s="301">
        <v>24758</v>
      </c>
    </row>
    <row r="50" spans="1:8" ht="13.5" customHeight="1" x14ac:dyDescent="0.25">
      <c r="A50" s="308">
        <f t="shared" si="1"/>
        <v>101</v>
      </c>
      <c r="B50" s="324" t="s">
        <v>395</v>
      </c>
      <c r="C50" s="324" t="s">
        <v>396</v>
      </c>
      <c r="D50" s="300">
        <v>244416</v>
      </c>
      <c r="E50" s="301">
        <v>304819</v>
      </c>
    </row>
    <row r="51" spans="1:8" ht="15.75" customHeight="1" thickBot="1" x14ac:dyDescent="0.3">
      <c r="A51" s="309">
        <f t="shared" si="1"/>
        <v>102</v>
      </c>
      <c r="B51" s="332"/>
      <c r="C51" s="310" t="s">
        <v>397</v>
      </c>
      <c r="D51" s="333">
        <f>SUM(D5,D16,D20,D47)</f>
        <v>556012</v>
      </c>
      <c r="E51" s="334">
        <f>SUM(E5,E16,E20,E47)</f>
        <v>606035</v>
      </c>
    </row>
    <row r="52" spans="1:8" hidden="1" x14ac:dyDescent="0.25">
      <c r="A52" s="335"/>
      <c r="B52" s="336"/>
      <c r="C52" s="336"/>
      <c r="D52" s="337"/>
      <c r="E52" s="337"/>
    </row>
    <row r="53" spans="1:8" s="341" customFormat="1" x14ac:dyDescent="0.25">
      <c r="A53" s="338"/>
      <c r="B53" s="339"/>
      <c r="C53" s="339"/>
      <c r="D53" s="340"/>
      <c r="E53" s="340"/>
    </row>
    <row r="54" spans="1:8" s="341" customFormat="1" x14ac:dyDescent="0.25">
      <c r="A54" s="342"/>
      <c r="B54" s="343"/>
      <c r="C54" s="343"/>
      <c r="D54" s="344"/>
      <c r="E54" s="344"/>
      <c r="H54" s="345"/>
    </row>
    <row r="55" spans="1:8" s="341" customFormat="1" x14ac:dyDescent="0.25">
      <c r="A55" s="338"/>
      <c r="B55" s="339"/>
      <c r="C55" s="339"/>
      <c r="D55" s="340"/>
      <c r="E55" s="340"/>
      <c r="H55" s="345"/>
    </row>
    <row r="56" spans="1:8" s="341" customFormat="1" x14ac:dyDescent="0.25">
      <c r="A56" s="338"/>
      <c r="B56" s="339"/>
      <c r="C56" s="339"/>
      <c r="D56" s="340"/>
      <c r="E56" s="340"/>
      <c r="H56" s="345"/>
    </row>
    <row r="57" spans="1:8" s="341" customFormat="1" x14ac:dyDescent="0.25">
      <c r="A57" s="346"/>
      <c r="B57" s="347"/>
      <c r="C57" s="347"/>
      <c r="D57" s="344"/>
      <c r="E57" s="344"/>
      <c r="H57" s="345"/>
    </row>
    <row r="58" spans="1:8" s="341" customFormat="1" x14ac:dyDescent="0.25">
      <c r="A58" s="348"/>
      <c r="B58" s="339"/>
      <c r="C58" s="339"/>
      <c r="D58" s="340"/>
      <c r="E58" s="340"/>
    </row>
    <row r="59" spans="1:8" s="341" customFormat="1" x14ac:dyDescent="0.25">
      <c r="A59" s="348"/>
      <c r="B59" s="339"/>
      <c r="C59" s="339"/>
      <c r="D59" s="340"/>
      <c r="E59" s="340"/>
    </row>
    <row r="60" spans="1:8" s="341" customFormat="1" x14ac:dyDescent="0.25">
      <c r="A60" s="348"/>
      <c r="B60" s="339"/>
      <c r="C60" s="339"/>
      <c r="D60" s="340"/>
      <c r="E60" s="340"/>
    </row>
    <row r="61" spans="1:8" s="341" customFormat="1" x14ac:dyDescent="0.25">
      <c r="A61" s="346"/>
      <c r="B61" s="346"/>
      <c r="C61" s="347"/>
      <c r="D61" s="344"/>
      <c r="E61" s="344"/>
    </row>
  </sheetData>
  <mergeCells count="4">
    <mergeCell ref="A1:E1"/>
    <mergeCell ref="A2:E2"/>
    <mergeCell ref="A3:C3"/>
    <mergeCell ref="D3:E3"/>
  </mergeCells>
  <pageMargins left="0" right="0.27559055118110237" top="0.15748031496062992" bottom="0.23622047244094491" header="0.11811023622047245" footer="0.23622047244094491"/>
  <pageSetup paperSize="9" orientation="portrait" r:id="rId1"/>
  <headerFooter alignWithMargins="0">
    <oddHeader>&amp;R&amp;8 13.b melléklet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41" workbookViewId="0">
      <selection activeCell="E63" sqref="E63"/>
    </sheetView>
  </sheetViews>
  <sheetFormatPr defaultColWidth="10.28515625" defaultRowHeight="15.75" x14ac:dyDescent="0.25"/>
  <cols>
    <col min="1" max="1" width="4" style="314" customWidth="1"/>
    <col min="2" max="2" width="4.140625" style="314" customWidth="1"/>
    <col min="3" max="3" width="50.140625" style="314" customWidth="1"/>
    <col min="4" max="5" width="15.85546875" style="314" customWidth="1"/>
    <col min="6" max="6" width="14.140625" style="293" bestFit="1" customWidth="1"/>
    <col min="7" max="16384" width="10.28515625" style="293"/>
  </cols>
  <sheetData>
    <row r="1" spans="1:6" x14ac:dyDescent="0.25">
      <c r="A1" s="544" t="s">
        <v>236</v>
      </c>
      <c r="B1" s="545"/>
      <c r="C1" s="545"/>
      <c r="D1" s="545"/>
      <c r="E1" s="546"/>
    </row>
    <row r="2" spans="1:6" x14ac:dyDescent="0.25">
      <c r="A2" s="563" t="s">
        <v>398</v>
      </c>
      <c r="B2" s="564"/>
      <c r="C2" s="564"/>
      <c r="D2" s="564"/>
      <c r="E2" s="565"/>
    </row>
    <row r="3" spans="1:6" x14ac:dyDescent="0.25">
      <c r="A3" s="566"/>
      <c r="B3" s="567"/>
      <c r="C3" s="567"/>
      <c r="D3" s="567"/>
      <c r="E3" s="568"/>
    </row>
    <row r="4" spans="1:6" ht="26.25" customHeight="1" thickBot="1" x14ac:dyDescent="0.3">
      <c r="A4" s="349"/>
      <c r="B4" s="350"/>
      <c r="C4" s="351" t="s">
        <v>238</v>
      </c>
      <c r="D4" s="287" t="s">
        <v>239</v>
      </c>
      <c r="E4" s="288" t="s">
        <v>465</v>
      </c>
    </row>
    <row r="5" spans="1:6" ht="12.75" customHeight="1" x14ac:dyDescent="0.25">
      <c r="A5" s="298">
        <v>1</v>
      </c>
      <c r="B5" s="352">
        <v>1</v>
      </c>
      <c r="C5" s="353" t="s">
        <v>399</v>
      </c>
      <c r="D5" s="354">
        <v>1598264</v>
      </c>
      <c r="E5" s="355">
        <v>1606657</v>
      </c>
    </row>
    <row r="6" spans="1:6" ht="12.75" customHeight="1" x14ac:dyDescent="0.25">
      <c r="A6" s="298"/>
      <c r="B6" s="352"/>
      <c r="C6" s="353" t="s">
        <v>400</v>
      </c>
      <c r="D6" s="356">
        <v>1438719</v>
      </c>
      <c r="E6" s="357">
        <v>1460847</v>
      </c>
    </row>
    <row r="7" spans="1:6" ht="12.75" customHeight="1" x14ac:dyDescent="0.25">
      <c r="A7" s="298"/>
      <c r="B7" s="352"/>
      <c r="C7" s="353" t="s">
        <v>401</v>
      </c>
      <c r="D7" s="356">
        <f>D5-D6</f>
        <v>159545</v>
      </c>
      <c r="E7" s="356">
        <v>145810</v>
      </c>
    </row>
    <row r="8" spans="1:6" ht="13.5" customHeight="1" x14ac:dyDescent="0.25">
      <c r="A8" s="298">
        <f>+A5+1</f>
        <v>2</v>
      </c>
      <c r="B8" s="358">
        <v>2</v>
      </c>
      <c r="C8" s="359" t="s">
        <v>402</v>
      </c>
      <c r="D8" s="356"/>
      <c r="E8" s="357"/>
      <c r="F8" s="302"/>
    </row>
    <row r="9" spans="1:6" ht="15" customHeight="1" x14ac:dyDescent="0.25">
      <c r="A9" s="360">
        <f>+A8+1</f>
        <v>3</v>
      </c>
      <c r="B9" s="361" t="s">
        <v>242</v>
      </c>
      <c r="C9" s="362" t="s">
        <v>403</v>
      </c>
      <c r="D9" s="322">
        <f>SUM(D5,D8)</f>
        <v>1598264</v>
      </c>
      <c r="E9" s="323">
        <f>SUM(E5,E8)</f>
        <v>1606657</v>
      </c>
    </row>
    <row r="10" spans="1:6" ht="13.5" customHeight="1" x14ac:dyDescent="0.25">
      <c r="A10" s="298">
        <f>+A9+1</f>
        <v>4</v>
      </c>
      <c r="B10" s="358">
        <v>3</v>
      </c>
      <c r="C10" s="359" t="s">
        <v>404</v>
      </c>
      <c r="D10" s="363"/>
      <c r="E10" s="364"/>
    </row>
    <row r="11" spans="1:6" ht="13.5" customHeight="1" x14ac:dyDescent="0.25">
      <c r="A11" s="298">
        <f>+A10+1</f>
        <v>5</v>
      </c>
      <c r="B11" s="358">
        <v>4</v>
      </c>
      <c r="C11" s="359" t="s">
        <v>405</v>
      </c>
      <c r="D11" s="363"/>
      <c r="E11" s="364"/>
    </row>
    <row r="12" spans="1:6" ht="15" customHeight="1" x14ac:dyDescent="0.25">
      <c r="A12" s="360">
        <f>+A11+1</f>
        <v>6</v>
      </c>
      <c r="B12" s="361" t="s">
        <v>258</v>
      </c>
      <c r="C12" s="362" t="s">
        <v>406</v>
      </c>
      <c r="D12" s="363"/>
      <c r="E12" s="364"/>
    </row>
    <row r="13" spans="1:6" ht="12.75" customHeight="1" x14ac:dyDescent="0.25">
      <c r="A13" s="360">
        <f>+A12+1</f>
        <v>7</v>
      </c>
      <c r="B13" s="361" t="s">
        <v>274</v>
      </c>
      <c r="C13" s="362" t="s">
        <v>407</v>
      </c>
      <c r="D13" s="322">
        <f>SUM(D14:D15)</f>
        <v>178553</v>
      </c>
      <c r="E13" s="323">
        <f>SUM(E14:E15)</f>
        <v>168402</v>
      </c>
    </row>
    <row r="14" spans="1:6" ht="12.75" customHeight="1" x14ac:dyDescent="0.25">
      <c r="A14" s="360"/>
      <c r="B14" s="361"/>
      <c r="C14" s="295" t="s">
        <v>408</v>
      </c>
      <c r="D14" s="363">
        <v>177115</v>
      </c>
      <c r="E14" s="364">
        <v>164000</v>
      </c>
    </row>
    <row r="15" spans="1:6" ht="12.75" customHeight="1" x14ac:dyDescent="0.25">
      <c r="A15" s="360"/>
      <c r="B15" s="361"/>
      <c r="C15" s="295" t="s">
        <v>409</v>
      </c>
      <c r="D15" s="365">
        <v>1438</v>
      </c>
      <c r="E15" s="366">
        <v>4402</v>
      </c>
    </row>
    <row r="16" spans="1:6" ht="12.75" customHeight="1" x14ac:dyDescent="0.25">
      <c r="A16" s="298">
        <f>+A13+1</f>
        <v>8</v>
      </c>
      <c r="B16" s="358"/>
      <c r="C16" s="359" t="s">
        <v>410</v>
      </c>
      <c r="D16" s="365"/>
      <c r="E16" s="366"/>
    </row>
    <row r="17" spans="1:5" ht="13.5" customHeight="1" x14ac:dyDescent="0.25">
      <c r="A17" s="298">
        <f t="shared" ref="A17:A60" si="0">+A16+1</f>
        <v>9</v>
      </c>
      <c r="B17" s="358">
        <v>5</v>
      </c>
      <c r="C17" s="359" t="s">
        <v>68</v>
      </c>
      <c r="D17" s="363">
        <v>189993</v>
      </c>
      <c r="E17" s="364">
        <v>189131</v>
      </c>
    </row>
    <row r="18" spans="1:5" ht="15" customHeight="1" x14ac:dyDescent="0.25">
      <c r="A18" s="298">
        <f t="shared" si="0"/>
        <v>10</v>
      </c>
      <c r="B18" s="358">
        <v>6</v>
      </c>
      <c r="C18" s="359" t="s">
        <v>411</v>
      </c>
      <c r="D18" s="356">
        <v>361135</v>
      </c>
      <c r="E18" s="357">
        <f>356383-400</f>
        <v>355983</v>
      </c>
    </row>
    <row r="19" spans="1:5" ht="15" customHeight="1" x14ac:dyDescent="0.25">
      <c r="A19" s="298">
        <f t="shared" si="0"/>
        <v>11</v>
      </c>
      <c r="B19" s="358">
        <v>7</v>
      </c>
      <c r="C19" s="359" t="s">
        <v>412</v>
      </c>
      <c r="D19" s="363">
        <v>10256</v>
      </c>
      <c r="E19" s="364">
        <v>9211</v>
      </c>
    </row>
    <row r="20" spans="1:5" ht="15" customHeight="1" x14ac:dyDescent="0.25">
      <c r="A20" s="298">
        <f t="shared" si="0"/>
        <v>12</v>
      </c>
      <c r="B20" s="358">
        <v>8</v>
      </c>
      <c r="C20" s="359" t="s">
        <v>413</v>
      </c>
      <c r="D20" s="363"/>
      <c r="E20" s="364"/>
    </row>
    <row r="21" spans="1:5" ht="15" customHeight="1" x14ac:dyDescent="0.25">
      <c r="A21" s="298">
        <f t="shared" si="0"/>
        <v>13</v>
      </c>
      <c r="B21" s="358">
        <v>9</v>
      </c>
      <c r="C21" s="359" t="s">
        <v>61</v>
      </c>
      <c r="D21" s="363">
        <v>7930</v>
      </c>
      <c r="E21" s="364">
        <f>6694+400</f>
        <v>7094</v>
      </c>
    </row>
    <row r="22" spans="1:5" ht="15" customHeight="1" x14ac:dyDescent="0.25">
      <c r="A22" s="360">
        <f t="shared" si="0"/>
        <v>14</v>
      </c>
      <c r="B22" s="361" t="s">
        <v>316</v>
      </c>
      <c r="C22" s="362" t="s">
        <v>414</v>
      </c>
      <c r="D22" s="322">
        <f>SUM(D17:D21)</f>
        <v>569314</v>
      </c>
      <c r="E22" s="323">
        <f>SUM(E17:E21)</f>
        <v>561419</v>
      </c>
    </row>
    <row r="23" spans="1:5" ht="15" customHeight="1" x14ac:dyDescent="0.25">
      <c r="A23" s="298">
        <f t="shared" si="0"/>
        <v>15</v>
      </c>
      <c r="B23" s="358">
        <v>10</v>
      </c>
      <c r="C23" s="359" t="s">
        <v>65</v>
      </c>
      <c r="D23" s="363">
        <v>913678</v>
      </c>
      <c r="E23" s="364">
        <v>901882</v>
      </c>
    </row>
    <row r="24" spans="1:5" ht="15" customHeight="1" x14ac:dyDescent="0.25">
      <c r="A24" s="298">
        <f t="shared" si="0"/>
        <v>16</v>
      </c>
      <c r="B24" s="358">
        <v>11</v>
      </c>
      <c r="C24" s="359" t="s">
        <v>46</v>
      </c>
      <c r="D24" s="363">
        <v>44233</v>
      </c>
      <c r="E24" s="364">
        <v>45725</v>
      </c>
    </row>
    <row r="25" spans="1:5" ht="15" customHeight="1" x14ac:dyDescent="0.25">
      <c r="A25" s="298">
        <f t="shared" si="0"/>
        <v>17</v>
      </c>
      <c r="B25" s="358">
        <v>12</v>
      </c>
      <c r="C25" s="359" t="s">
        <v>415</v>
      </c>
      <c r="D25" s="363">
        <v>246782</v>
      </c>
      <c r="E25" s="364">
        <v>243507</v>
      </c>
    </row>
    <row r="26" spans="1:5" ht="15" customHeight="1" x14ac:dyDescent="0.25">
      <c r="A26" s="360">
        <f t="shared" si="0"/>
        <v>18</v>
      </c>
      <c r="B26" s="361" t="s">
        <v>340</v>
      </c>
      <c r="C26" s="362" t="s">
        <v>416</v>
      </c>
      <c r="D26" s="367">
        <f>SUM(D23:D25)</f>
        <v>1204693</v>
      </c>
      <c r="E26" s="368">
        <f>SUM(E23:E25)</f>
        <v>1191114</v>
      </c>
    </row>
    <row r="27" spans="1:5" ht="15" customHeight="1" x14ac:dyDescent="0.25">
      <c r="A27" s="360">
        <f t="shared" si="0"/>
        <v>19</v>
      </c>
      <c r="B27" s="361" t="s">
        <v>342</v>
      </c>
      <c r="C27" s="362" t="s">
        <v>417</v>
      </c>
      <c r="D27" s="322">
        <v>128405</v>
      </c>
      <c r="E27" s="323">
        <v>112301</v>
      </c>
    </row>
    <row r="28" spans="1:5" ht="15" customHeight="1" x14ac:dyDescent="0.25">
      <c r="A28" s="360">
        <f t="shared" si="0"/>
        <v>20</v>
      </c>
      <c r="B28" s="361" t="s">
        <v>348</v>
      </c>
      <c r="C28" s="362" t="s">
        <v>418</v>
      </c>
      <c r="D28" s="322">
        <v>11664</v>
      </c>
      <c r="E28" s="323">
        <v>18580</v>
      </c>
    </row>
    <row r="29" spans="1:5" ht="15" customHeight="1" x14ac:dyDescent="0.25">
      <c r="A29" s="298">
        <f t="shared" si="0"/>
        <v>21</v>
      </c>
      <c r="B29" s="358"/>
      <c r="C29" s="359" t="s">
        <v>419</v>
      </c>
      <c r="D29" s="363"/>
      <c r="E29" s="364"/>
    </row>
    <row r="30" spans="1:5" ht="15" customHeight="1" x14ac:dyDescent="0.25">
      <c r="A30" s="360">
        <f t="shared" si="0"/>
        <v>22</v>
      </c>
      <c r="B30" s="369" t="s">
        <v>240</v>
      </c>
      <c r="C30" s="370" t="s">
        <v>420</v>
      </c>
      <c r="D30" s="371">
        <f>D9+D13-D22-D26-D27-D28</f>
        <v>-137259</v>
      </c>
      <c r="E30" s="372">
        <f>E9+E13-E22-E26-E27-E28</f>
        <v>-108355</v>
      </c>
    </row>
    <row r="31" spans="1:5" ht="15" customHeight="1" x14ac:dyDescent="0.25">
      <c r="A31" s="298">
        <f t="shared" si="0"/>
        <v>23</v>
      </c>
      <c r="B31" s="358">
        <v>13</v>
      </c>
      <c r="C31" s="359" t="s">
        <v>421</v>
      </c>
      <c r="D31" s="363"/>
      <c r="E31" s="364"/>
    </row>
    <row r="32" spans="1:5" ht="15" customHeight="1" x14ac:dyDescent="0.25">
      <c r="A32" s="298">
        <f t="shared" si="0"/>
        <v>24</v>
      </c>
      <c r="B32" s="358"/>
      <c r="C32" s="359" t="s">
        <v>422</v>
      </c>
      <c r="D32" s="363"/>
      <c r="E32" s="364"/>
    </row>
    <row r="33" spans="1:5" ht="15" customHeight="1" x14ac:dyDescent="0.25">
      <c r="A33" s="298">
        <f t="shared" si="0"/>
        <v>25</v>
      </c>
      <c r="B33" s="358">
        <v>14</v>
      </c>
      <c r="C33" s="359" t="s">
        <v>423</v>
      </c>
      <c r="D33" s="363"/>
      <c r="E33" s="364"/>
    </row>
    <row r="34" spans="1:5" ht="15" customHeight="1" x14ac:dyDescent="0.25">
      <c r="A34" s="298">
        <f t="shared" si="0"/>
        <v>26</v>
      </c>
      <c r="B34" s="358"/>
      <c r="C34" s="359" t="s">
        <v>422</v>
      </c>
      <c r="D34" s="363"/>
      <c r="E34" s="364"/>
    </row>
    <row r="35" spans="1:5" ht="15" customHeight="1" x14ac:dyDescent="0.25">
      <c r="A35" s="298">
        <f t="shared" si="0"/>
        <v>27</v>
      </c>
      <c r="B35" s="358">
        <v>15</v>
      </c>
      <c r="C35" s="359" t="s">
        <v>424</v>
      </c>
      <c r="D35" s="367"/>
      <c r="E35" s="368"/>
    </row>
    <row r="36" spans="1:5" ht="15" customHeight="1" x14ac:dyDescent="0.25">
      <c r="A36" s="298">
        <f t="shared" si="0"/>
        <v>28</v>
      </c>
      <c r="B36" s="358"/>
      <c r="C36" s="359" t="s">
        <v>422</v>
      </c>
      <c r="D36" s="367"/>
      <c r="E36" s="368"/>
    </row>
    <row r="37" spans="1:5" ht="15" customHeight="1" x14ac:dyDescent="0.25">
      <c r="A37" s="298">
        <f t="shared" si="0"/>
        <v>29</v>
      </c>
      <c r="B37" s="358">
        <v>16</v>
      </c>
      <c r="C37" s="359" t="s">
        <v>425</v>
      </c>
      <c r="D37" s="363">
        <v>159</v>
      </c>
      <c r="E37" s="364">
        <v>318</v>
      </c>
    </row>
    <row r="38" spans="1:5" ht="15" customHeight="1" x14ac:dyDescent="0.25">
      <c r="A38" s="298">
        <f t="shared" si="0"/>
        <v>30</v>
      </c>
      <c r="B38" s="358"/>
      <c r="C38" s="359" t="s">
        <v>422</v>
      </c>
      <c r="D38" s="363"/>
      <c r="E38" s="364"/>
    </row>
    <row r="39" spans="1:5" ht="15" customHeight="1" x14ac:dyDescent="0.25">
      <c r="A39" s="298">
        <f t="shared" si="0"/>
        <v>31</v>
      </c>
      <c r="B39" s="358">
        <v>17</v>
      </c>
      <c r="C39" s="359" t="s">
        <v>426</v>
      </c>
      <c r="D39" s="363"/>
      <c r="E39" s="364"/>
    </row>
    <row r="40" spans="1:5" ht="15" customHeight="1" x14ac:dyDescent="0.25">
      <c r="A40" s="298">
        <f t="shared" si="0"/>
        <v>32</v>
      </c>
      <c r="B40" s="358"/>
      <c r="C40" s="299" t="s">
        <v>427</v>
      </c>
      <c r="D40" s="363"/>
      <c r="E40" s="364"/>
    </row>
    <row r="41" spans="1:5" ht="15" customHeight="1" x14ac:dyDescent="0.25">
      <c r="A41" s="360">
        <f t="shared" si="0"/>
        <v>33</v>
      </c>
      <c r="B41" s="361" t="s">
        <v>428</v>
      </c>
      <c r="C41" s="362" t="s">
        <v>429</v>
      </c>
      <c r="D41" s="322">
        <f>SUM(D31,D33,D35,D37,D39)</f>
        <v>159</v>
      </c>
      <c r="E41" s="323">
        <f>SUM(E31,E33,E35,E37,E39)</f>
        <v>318</v>
      </c>
    </row>
    <row r="42" spans="1:5" ht="15" customHeight="1" x14ac:dyDescent="0.25">
      <c r="A42" s="298">
        <f t="shared" si="0"/>
        <v>34</v>
      </c>
      <c r="B42" s="358">
        <v>18</v>
      </c>
      <c r="C42" s="359" t="s">
        <v>430</v>
      </c>
      <c r="D42" s="363"/>
      <c r="E42" s="364"/>
    </row>
    <row r="43" spans="1:5" ht="15" customHeight="1" x14ac:dyDescent="0.25">
      <c r="A43" s="298">
        <f t="shared" si="0"/>
        <v>35</v>
      </c>
      <c r="B43" s="358"/>
      <c r="C43" s="359" t="s">
        <v>431</v>
      </c>
      <c r="D43" s="367"/>
      <c r="E43" s="368"/>
    </row>
    <row r="44" spans="1:5" ht="15" customHeight="1" x14ac:dyDescent="0.25">
      <c r="A44" s="298">
        <f t="shared" si="0"/>
        <v>36</v>
      </c>
      <c r="B44" s="358">
        <v>19</v>
      </c>
      <c r="C44" s="359" t="s">
        <v>432</v>
      </c>
      <c r="D44" s="363"/>
      <c r="E44" s="364"/>
    </row>
    <row r="45" spans="1:5" ht="15" customHeight="1" x14ac:dyDescent="0.25">
      <c r="A45" s="298">
        <f t="shared" si="0"/>
        <v>37</v>
      </c>
      <c r="B45" s="358"/>
      <c r="C45" s="359" t="s">
        <v>431</v>
      </c>
      <c r="D45" s="363"/>
      <c r="E45" s="364"/>
    </row>
    <row r="46" spans="1:5" ht="15" customHeight="1" x14ac:dyDescent="0.25">
      <c r="A46" s="298">
        <f t="shared" si="0"/>
        <v>38</v>
      </c>
      <c r="B46" s="358">
        <v>20</v>
      </c>
      <c r="C46" s="359" t="s">
        <v>433</v>
      </c>
      <c r="D46" s="363"/>
      <c r="E46" s="364"/>
    </row>
    <row r="47" spans="1:5" ht="15" customHeight="1" x14ac:dyDescent="0.25">
      <c r="A47" s="298">
        <f t="shared" si="0"/>
        <v>39</v>
      </c>
      <c r="B47" s="358">
        <v>21</v>
      </c>
      <c r="C47" s="359" t="s">
        <v>434</v>
      </c>
      <c r="D47" s="363"/>
      <c r="E47" s="364"/>
    </row>
    <row r="48" spans="1:5" ht="15" customHeight="1" x14ac:dyDescent="0.25">
      <c r="A48" s="298">
        <f t="shared" si="0"/>
        <v>40</v>
      </c>
      <c r="B48" s="358"/>
      <c r="C48" s="299" t="s">
        <v>427</v>
      </c>
      <c r="D48" s="363"/>
      <c r="E48" s="364"/>
    </row>
    <row r="49" spans="1:5" ht="15" customHeight="1" x14ac:dyDescent="0.25">
      <c r="A49" s="360">
        <f t="shared" si="0"/>
        <v>41</v>
      </c>
      <c r="B49" s="361" t="s">
        <v>435</v>
      </c>
      <c r="C49" s="362" t="s">
        <v>436</v>
      </c>
      <c r="D49" s="322">
        <f>SUM(D42,D44,D46,D47)</f>
        <v>0</v>
      </c>
      <c r="E49" s="323">
        <f>SUM(E42,E44,E46,E47)</f>
        <v>0</v>
      </c>
    </row>
    <row r="50" spans="1:5" ht="15" customHeight="1" x14ac:dyDescent="0.25">
      <c r="A50" s="298">
        <f t="shared" si="0"/>
        <v>42</v>
      </c>
      <c r="B50" s="369" t="s">
        <v>292</v>
      </c>
      <c r="C50" s="370" t="s">
        <v>437</v>
      </c>
      <c r="D50" s="363">
        <f>D41-D49</f>
        <v>159</v>
      </c>
      <c r="E50" s="364">
        <f>E41-E49</f>
        <v>318</v>
      </c>
    </row>
    <row r="51" spans="1:5" ht="15" customHeight="1" x14ac:dyDescent="0.25">
      <c r="A51" s="298">
        <f t="shared" si="0"/>
        <v>43</v>
      </c>
      <c r="B51" s="369" t="s">
        <v>322</v>
      </c>
      <c r="C51" s="370" t="s">
        <v>438</v>
      </c>
      <c r="D51" s="356">
        <f>SUM(D30+D50)</f>
        <v>-137100</v>
      </c>
      <c r="E51" s="357">
        <f>SUM(E30+E50)</f>
        <v>-108037</v>
      </c>
    </row>
    <row r="52" spans="1:5" ht="15" customHeight="1" x14ac:dyDescent="0.25">
      <c r="A52" s="360">
        <f t="shared" si="0"/>
        <v>44</v>
      </c>
      <c r="B52" s="361" t="s">
        <v>439</v>
      </c>
      <c r="C52" s="362" t="s">
        <v>440</v>
      </c>
      <c r="D52" s="363">
        <v>95722</v>
      </c>
      <c r="E52" s="364">
        <v>92549</v>
      </c>
    </row>
    <row r="53" spans="1:5" ht="15" customHeight="1" x14ac:dyDescent="0.25">
      <c r="A53" s="360">
        <f t="shared" si="0"/>
        <v>45</v>
      </c>
      <c r="B53" s="361" t="s">
        <v>441</v>
      </c>
      <c r="C53" s="362" t="s">
        <v>442</v>
      </c>
      <c r="D53" s="363"/>
      <c r="E53" s="364"/>
    </row>
    <row r="54" spans="1:5" ht="15" customHeight="1" x14ac:dyDescent="0.25">
      <c r="A54" s="298">
        <f t="shared" si="0"/>
        <v>46</v>
      </c>
      <c r="B54" s="369" t="s">
        <v>443</v>
      </c>
      <c r="C54" s="370" t="s">
        <v>444</v>
      </c>
      <c r="D54" s="363">
        <f>D52-D53</f>
        <v>95722</v>
      </c>
      <c r="E54" s="364">
        <f>E52-E53</f>
        <v>92549</v>
      </c>
    </row>
    <row r="55" spans="1:5" ht="15" customHeight="1" x14ac:dyDescent="0.25">
      <c r="A55" s="298">
        <f t="shared" si="0"/>
        <v>47</v>
      </c>
      <c r="B55" s="369" t="s">
        <v>445</v>
      </c>
      <c r="C55" s="370" t="s">
        <v>446</v>
      </c>
      <c r="D55" s="363">
        <f>D51+D54</f>
        <v>-41378</v>
      </c>
      <c r="E55" s="364">
        <f>E51+E54</f>
        <v>-15488</v>
      </c>
    </row>
    <row r="56" spans="1:5" ht="15" customHeight="1" x14ac:dyDescent="0.25">
      <c r="A56" s="360">
        <f t="shared" si="0"/>
        <v>48</v>
      </c>
      <c r="B56" s="361" t="s">
        <v>447</v>
      </c>
      <c r="C56" s="362" t="s">
        <v>448</v>
      </c>
      <c r="D56" s="363"/>
      <c r="E56" s="364"/>
    </row>
    <row r="57" spans="1:5" ht="15" customHeight="1" x14ac:dyDescent="0.25">
      <c r="A57" s="298">
        <f t="shared" si="0"/>
        <v>49</v>
      </c>
      <c r="B57" s="369" t="s">
        <v>449</v>
      </c>
      <c r="C57" s="370" t="s">
        <v>450</v>
      </c>
      <c r="D57" s="367">
        <f>D55-D56</f>
        <v>-41378</v>
      </c>
      <c r="E57" s="368">
        <f>E55-E56</f>
        <v>-15488</v>
      </c>
    </row>
    <row r="58" spans="1:5" ht="15" customHeight="1" x14ac:dyDescent="0.25">
      <c r="A58" s="298">
        <f t="shared" si="0"/>
        <v>50</v>
      </c>
      <c r="B58" s="358">
        <v>22</v>
      </c>
      <c r="C58" s="359" t="s">
        <v>451</v>
      </c>
      <c r="D58" s="363"/>
      <c r="E58" s="364"/>
    </row>
    <row r="59" spans="1:5" ht="15" customHeight="1" x14ac:dyDescent="0.25">
      <c r="A59" s="298">
        <f t="shared" si="0"/>
        <v>51</v>
      </c>
      <c r="B59" s="358">
        <v>23</v>
      </c>
      <c r="C59" s="359" t="s">
        <v>452</v>
      </c>
      <c r="D59" s="363"/>
      <c r="E59" s="364"/>
    </row>
    <row r="60" spans="1:5" ht="15" customHeight="1" thickBot="1" x14ac:dyDescent="0.3">
      <c r="A60" s="373">
        <f t="shared" si="0"/>
        <v>52</v>
      </c>
      <c r="B60" s="374" t="s">
        <v>453</v>
      </c>
      <c r="C60" s="375" t="s">
        <v>349</v>
      </c>
      <c r="D60" s="376">
        <f>D57+D58+D59</f>
        <v>-41378</v>
      </c>
      <c r="E60" s="377">
        <f>E57+E58+E59</f>
        <v>-15488</v>
      </c>
    </row>
    <row r="61" spans="1:5" x14ac:dyDescent="0.25">
      <c r="A61" s="348"/>
      <c r="B61" s="339"/>
      <c r="C61" s="339"/>
      <c r="D61" s="378"/>
      <c r="E61" s="378"/>
    </row>
    <row r="62" spans="1:5" x14ac:dyDescent="0.25">
      <c r="A62" s="348"/>
      <c r="B62" s="339"/>
      <c r="C62" s="339"/>
      <c r="D62" s="378"/>
      <c r="E62" s="378"/>
    </row>
    <row r="63" spans="1:5" x14ac:dyDescent="0.25">
      <c r="A63" s="348"/>
      <c r="B63" s="339"/>
      <c r="C63" s="339"/>
      <c r="D63" s="378"/>
      <c r="E63" s="378"/>
    </row>
    <row r="64" spans="1:5" x14ac:dyDescent="0.25">
      <c r="A64" s="346"/>
      <c r="B64" s="346"/>
      <c r="C64" s="347"/>
      <c r="D64" s="379"/>
      <c r="E64" s="379"/>
    </row>
  </sheetData>
  <mergeCells count="3">
    <mergeCell ref="A1:E1"/>
    <mergeCell ref="A2:E2"/>
    <mergeCell ref="A3:E3"/>
  </mergeCells>
  <printOptions horizontalCentered="1"/>
  <pageMargins left="0.27559055118110237" right="0.27559055118110237" top="0.39370078740157483" bottom="3.937007874015748E-2" header="0.11811023622047245" footer="0.23622047244094491"/>
  <pageSetup paperSize="9" scale="90" orientation="portrait" r:id="rId1"/>
  <headerFooter alignWithMargins="0">
    <oddHeader>&amp;R&amp;8 12. melléklet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H1" sqref="H1"/>
    </sheetView>
  </sheetViews>
  <sheetFormatPr defaultRowHeight="15" x14ac:dyDescent="0.25"/>
  <cols>
    <col min="1" max="2" width="9.140625" style="569"/>
    <col min="3" max="3" width="3.28515625" style="569" customWidth="1"/>
    <col min="4" max="4" width="16" style="569" customWidth="1"/>
    <col min="5" max="5" width="17.140625" style="569" customWidth="1"/>
    <col min="6" max="6" width="15.140625" style="569" customWidth="1"/>
    <col min="7" max="7" width="14.7109375" style="569" customWidth="1"/>
    <col min="8" max="258" width="9.140625" style="569"/>
    <col min="259" max="259" width="3.28515625" style="569" customWidth="1"/>
    <col min="260" max="260" width="16" style="569" customWidth="1"/>
    <col min="261" max="261" width="17.140625" style="569" customWidth="1"/>
    <col min="262" max="262" width="15.140625" style="569" customWidth="1"/>
    <col min="263" max="263" width="14.7109375" style="569" customWidth="1"/>
    <col min="264" max="514" width="9.140625" style="569"/>
    <col min="515" max="515" width="3.28515625" style="569" customWidth="1"/>
    <col min="516" max="516" width="16" style="569" customWidth="1"/>
    <col min="517" max="517" width="17.140625" style="569" customWidth="1"/>
    <col min="518" max="518" width="15.140625" style="569" customWidth="1"/>
    <col min="519" max="519" width="14.7109375" style="569" customWidth="1"/>
    <col min="520" max="770" width="9.140625" style="569"/>
    <col min="771" max="771" width="3.28515625" style="569" customWidth="1"/>
    <col min="772" max="772" width="16" style="569" customWidth="1"/>
    <col min="773" max="773" width="17.140625" style="569" customWidth="1"/>
    <col min="774" max="774" width="15.140625" style="569" customWidth="1"/>
    <col min="775" max="775" width="14.7109375" style="569" customWidth="1"/>
    <col min="776" max="1026" width="9.140625" style="569"/>
    <col min="1027" max="1027" width="3.28515625" style="569" customWidth="1"/>
    <col min="1028" max="1028" width="16" style="569" customWidth="1"/>
    <col min="1029" max="1029" width="17.140625" style="569" customWidth="1"/>
    <col min="1030" max="1030" width="15.140625" style="569" customWidth="1"/>
    <col min="1031" max="1031" width="14.7109375" style="569" customWidth="1"/>
    <col min="1032" max="1282" width="9.140625" style="569"/>
    <col min="1283" max="1283" width="3.28515625" style="569" customWidth="1"/>
    <col min="1284" max="1284" width="16" style="569" customWidth="1"/>
    <col min="1285" max="1285" width="17.140625" style="569" customWidth="1"/>
    <col min="1286" max="1286" width="15.140625" style="569" customWidth="1"/>
    <col min="1287" max="1287" width="14.7109375" style="569" customWidth="1"/>
    <col min="1288" max="1538" width="9.140625" style="569"/>
    <col min="1539" max="1539" width="3.28515625" style="569" customWidth="1"/>
    <col min="1540" max="1540" width="16" style="569" customWidth="1"/>
    <col min="1541" max="1541" width="17.140625" style="569" customWidth="1"/>
    <col min="1542" max="1542" width="15.140625" style="569" customWidth="1"/>
    <col min="1543" max="1543" width="14.7109375" style="569" customWidth="1"/>
    <col min="1544" max="1794" width="9.140625" style="569"/>
    <col min="1795" max="1795" width="3.28515625" style="569" customWidth="1"/>
    <col min="1796" max="1796" width="16" style="569" customWidth="1"/>
    <col min="1797" max="1797" width="17.140625" style="569" customWidth="1"/>
    <col min="1798" max="1798" width="15.140625" style="569" customWidth="1"/>
    <col min="1799" max="1799" width="14.7109375" style="569" customWidth="1"/>
    <col min="1800" max="2050" width="9.140625" style="569"/>
    <col min="2051" max="2051" width="3.28515625" style="569" customWidth="1"/>
    <col min="2052" max="2052" width="16" style="569" customWidth="1"/>
    <col min="2053" max="2053" width="17.140625" style="569" customWidth="1"/>
    <col min="2054" max="2054" width="15.140625" style="569" customWidth="1"/>
    <col min="2055" max="2055" width="14.7109375" style="569" customWidth="1"/>
    <col min="2056" max="2306" width="9.140625" style="569"/>
    <col min="2307" max="2307" width="3.28515625" style="569" customWidth="1"/>
    <col min="2308" max="2308" width="16" style="569" customWidth="1"/>
    <col min="2309" max="2309" width="17.140625" style="569" customWidth="1"/>
    <col min="2310" max="2310" width="15.140625" style="569" customWidth="1"/>
    <col min="2311" max="2311" width="14.7109375" style="569" customWidth="1"/>
    <col min="2312" max="2562" width="9.140625" style="569"/>
    <col min="2563" max="2563" width="3.28515625" style="569" customWidth="1"/>
    <col min="2564" max="2564" width="16" style="569" customWidth="1"/>
    <col min="2565" max="2565" width="17.140625" style="569" customWidth="1"/>
    <col min="2566" max="2566" width="15.140625" style="569" customWidth="1"/>
    <col min="2567" max="2567" width="14.7109375" style="569" customWidth="1"/>
    <col min="2568" max="2818" width="9.140625" style="569"/>
    <col min="2819" max="2819" width="3.28515625" style="569" customWidth="1"/>
    <col min="2820" max="2820" width="16" style="569" customWidth="1"/>
    <col min="2821" max="2821" width="17.140625" style="569" customWidth="1"/>
    <col min="2822" max="2822" width="15.140625" style="569" customWidth="1"/>
    <col min="2823" max="2823" width="14.7109375" style="569" customWidth="1"/>
    <col min="2824" max="3074" width="9.140625" style="569"/>
    <col min="3075" max="3075" width="3.28515625" style="569" customWidth="1"/>
    <col min="3076" max="3076" width="16" style="569" customWidth="1"/>
    <col min="3077" max="3077" width="17.140625" style="569" customWidth="1"/>
    <col min="3078" max="3078" width="15.140625" style="569" customWidth="1"/>
    <col min="3079" max="3079" width="14.7109375" style="569" customWidth="1"/>
    <col min="3080" max="3330" width="9.140625" style="569"/>
    <col min="3331" max="3331" width="3.28515625" style="569" customWidth="1"/>
    <col min="3332" max="3332" width="16" style="569" customWidth="1"/>
    <col min="3333" max="3333" width="17.140625" style="569" customWidth="1"/>
    <col min="3334" max="3334" width="15.140625" style="569" customWidth="1"/>
    <col min="3335" max="3335" width="14.7109375" style="569" customWidth="1"/>
    <col min="3336" max="3586" width="9.140625" style="569"/>
    <col min="3587" max="3587" width="3.28515625" style="569" customWidth="1"/>
    <col min="3588" max="3588" width="16" style="569" customWidth="1"/>
    <col min="3589" max="3589" width="17.140625" style="569" customWidth="1"/>
    <col min="3590" max="3590" width="15.140625" style="569" customWidth="1"/>
    <col min="3591" max="3591" width="14.7109375" style="569" customWidth="1"/>
    <col min="3592" max="3842" width="9.140625" style="569"/>
    <col min="3843" max="3843" width="3.28515625" style="569" customWidth="1"/>
    <col min="3844" max="3844" width="16" style="569" customWidth="1"/>
    <col min="3845" max="3845" width="17.140625" style="569" customWidth="1"/>
    <col min="3846" max="3846" width="15.140625" style="569" customWidth="1"/>
    <col min="3847" max="3847" width="14.7109375" style="569" customWidth="1"/>
    <col min="3848" max="4098" width="9.140625" style="569"/>
    <col min="4099" max="4099" width="3.28515625" style="569" customWidth="1"/>
    <col min="4100" max="4100" width="16" style="569" customWidth="1"/>
    <col min="4101" max="4101" width="17.140625" style="569" customWidth="1"/>
    <col min="4102" max="4102" width="15.140625" style="569" customWidth="1"/>
    <col min="4103" max="4103" width="14.7109375" style="569" customWidth="1"/>
    <col min="4104" max="4354" width="9.140625" style="569"/>
    <col min="4355" max="4355" width="3.28515625" style="569" customWidth="1"/>
    <col min="4356" max="4356" width="16" style="569" customWidth="1"/>
    <col min="4357" max="4357" width="17.140625" style="569" customWidth="1"/>
    <col min="4358" max="4358" width="15.140625" style="569" customWidth="1"/>
    <col min="4359" max="4359" width="14.7109375" style="569" customWidth="1"/>
    <col min="4360" max="4610" width="9.140625" style="569"/>
    <col min="4611" max="4611" width="3.28515625" style="569" customWidth="1"/>
    <col min="4612" max="4612" width="16" style="569" customWidth="1"/>
    <col min="4613" max="4613" width="17.140625" style="569" customWidth="1"/>
    <col min="4614" max="4614" width="15.140625" style="569" customWidth="1"/>
    <col min="4615" max="4615" width="14.7109375" style="569" customWidth="1"/>
    <col min="4616" max="4866" width="9.140625" style="569"/>
    <col min="4867" max="4867" width="3.28515625" style="569" customWidth="1"/>
    <col min="4868" max="4868" width="16" style="569" customWidth="1"/>
    <col min="4869" max="4869" width="17.140625" style="569" customWidth="1"/>
    <col min="4870" max="4870" width="15.140625" style="569" customWidth="1"/>
    <col min="4871" max="4871" width="14.7109375" style="569" customWidth="1"/>
    <col min="4872" max="5122" width="9.140625" style="569"/>
    <col min="5123" max="5123" width="3.28515625" style="569" customWidth="1"/>
    <col min="5124" max="5124" width="16" style="569" customWidth="1"/>
    <col min="5125" max="5125" width="17.140625" style="569" customWidth="1"/>
    <col min="5126" max="5126" width="15.140625" style="569" customWidth="1"/>
    <col min="5127" max="5127" width="14.7109375" style="569" customWidth="1"/>
    <col min="5128" max="5378" width="9.140625" style="569"/>
    <col min="5379" max="5379" width="3.28515625" style="569" customWidth="1"/>
    <col min="5380" max="5380" width="16" style="569" customWidth="1"/>
    <col min="5381" max="5381" width="17.140625" style="569" customWidth="1"/>
    <col min="5382" max="5382" width="15.140625" style="569" customWidth="1"/>
    <col min="5383" max="5383" width="14.7109375" style="569" customWidth="1"/>
    <col min="5384" max="5634" width="9.140625" style="569"/>
    <col min="5635" max="5635" width="3.28515625" style="569" customWidth="1"/>
    <col min="5636" max="5636" width="16" style="569" customWidth="1"/>
    <col min="5637" max="5637" width="17.140625" style="569" customWidth="1"/>
    <col min="5638" max="5638" width="15.140625" style="569" customWidth="1"/>
    <col min="5639" max="5639" width="14.7109375" style="569" customWidth="1"/>
    <col min="5640" max="5890" width="9.140625" style="569"/>
    <col min="5891" max="5891" width="3.28515625" style="569" customWidth="1"/>
    <col min="5892" max="5892" width="16" style="569" customWidth="1"/>
    <col min="5893" max="5893" width="17.140625" style="569" customWidth="1"/>
    <col min="5894" max="5894" width="15.140625" style="569" customWidth="1"/>
    <col min="5895" max="5895" width="14.7109375" style="569" customWidth="1"/>
    <col min="5896" max="6146" width="9.140625" style="569"/>
    <col min="6147" max="6147" width="3.28515625" style="569" customWidth="1"/>
    <col min="6148" max="6148" width="16" style="569" customWidth="1"/>
    <col min="6149" max="6149" width="17.140625" style="569" customWidth="1"/>
    <col min="6150" max="6150" width="15.140625" style="569" customWidth="1"/>
    <col min="6151" max="6151" width="14.7109375" style="569" customWidth="1"/>
    <col min="6152" max="6402" width="9.140625" style="569"/>
    <col min="6403" max="6403" width="3.28515625" style="569" customWidth="1"/>
    <col min="6404" max="6404" width="16" style="569" customWidth="1"/>
    <col min="6405" max="6405" width="17.140625" style="569" customWidth="1"/>
    <col min="6406" max="6406" width="15.140625" style="569" customWidth="1"/>
    <col min="6407" max="6407" width="14.7109375" style="569" customWidth="1"/>
    <col min="6408" max="6658" width="9.140625" style="569"/>
    <col min="6659" max="6659" width="3.28515625" style="569" customWidth="1"/>
    <col min="6660" max="6660" width="16" style="569" customWidth="1"/>
    <col min="6661" max="6661" width="17.140625" style="569" customWidth="1"/>
    <col min="6662" max="6662" width="15.140625" style="569" customWidth="1"/>
    <col min="6663" max="6663" width="14.7109375" style="569" customWidth="1"/>
    <col min="6664" max="6914" width="9.140625" style="569"/>
    <col min="6915" max="6915" width="3.28515625" style="569" customWidth="1"/>
    <col min="6916" max="6916" width="16" style="569" customWidth="1"/>
    <col min="6917" max="6917" width="17.140625" style="569" customWidth="1"/>
    <col min="6918" max="6918" width="15.140625" style="569" customWidth="1"/>
    <col min="6919" max="6919" width="14.7109375" style="569" customWidth="1"/>
    <col min="6920" max="7170" width="9.140625" style="569"/>
    <col min="7171" max="7171" width="3.28515625" style="569" customWidth="1"/>
    <col min="7172" max="7172" width="16" style="569" customWidth="1"/>
    <col min="7173" max="7173" width="17.140625" style="569" customWidth="1"/>
    <col min="7174" max="7174" width="15.140625" style="569" customWidth="1"/>
    <col min="7175" max="7175" width="14.7109375" style="569" customWidth="1"/>
    <col min="7176" max="7426" width="9.140625" style="569"/>
    <col min="7427" max="7427" width="3.28515625" style="569" customWidth="1"/>
    <col min="7428" max="7428" width="16" style="569" customWidth="1"/>
    <col min="7429" max="7429" width="17.140625" style="569" customWidth="1"/>
    <col min="7430" max="7430" width="15.140625" style="569" customWidth="1"/>
    <col min="7431" max="7431" width="14.7109375" style="569" customWidth="1"/>
    <col min="7432" max="7682" width="9.140625" style="569"/>
    <col min="7683" max="7683" width="3.28515625" style="569" customWidth="1"/>
    <col min="7684" max="7684" width="16" style="569" customWidth="1"/>
    <col min="7685" max="7685" width="17.140625" style="569" customWidth="1"/>
    <col min="7686" max="7686" width="15.140625" style="569" customWidth="1"/>
    <col min="7687" max="7687" width="14.7109375" style="569" customWidth="1"/>
    <col min="7688" max="7938" width="9.140625" style="569"/>
    <col min="7939" max="7939" width="3.28515625" style="569" customWidth="1"/>
    <col min="7940" max="7940" width="16" style="569" customWidth="1"/>
    <col min="7941" max="7941" width="17.140625" style="569" customWidth="1"/>
    <col min="7942" max="7942" width="15.140625" style="569" customWidth="1"/>
    <col min="7943" max="7943" width="14.7109375" style="569" customWidth="1"/>
    <col min="7944" max="8194" width="9.140625" style="569"/>
    <col min="8195" max="8195" width="3.28515625" style="569" customWidth="1"/>
    <col min="8196" max="8196" width="16" style="569" customWidth="1"/>
    <col min="8197" max="8197" width="17.140625" style="569" customWidth="1"/>
    <col min="8198" max="8198" width="15.140625" style="569" customWidth="1"/>
    <col min="8199" max="8199" width="14.7109375" style="569" customWidth="1"/>
    <col min="8200" max="8450" width="9.140625" style="569"/>
    <col min="8451" max="8451" width="3.28515625" style="569" customWidth="1"/>
    <col min="8452" max="8452" width="16" style="569" customWidth="1"/>
    <col min="8453" max="8453" width="17.140625" style="569" customWidth="1"/>
    <col min="8454" max="8454" width="15.140625" style="569" customWidth="1"/>
    <col min="8455" max="8455" width="14.7109375" style="569" customWidth="1"/>
    <col min="8456" max="8706" width="9.140625" style="569"/>
    <col min="8707" max="8707" width="3.28515625" style="569" customWidth="1"/>
    <col min="8708" max="8708" width="16" style="569" customWidth="1"/>
    <col min="8709" max="8709" width="17.140625" style="569" customWidth="1"/>
    <col min="8710" max="8710" width="15.140625" style="569" customWidth="1"/>
    <col min="8711" max="8711" width="14.7109375" style="569" customWidth="1"/>
    <col min="8712" max="8962" width="9.140625" style="569"/>
    <col min="8963" max="8963" width="3.28515625" style="569" customWidth="1"/>
    <col min="8964" max="8964" width="16" style="569" customWidth="1"/>
    <col min="8965" max="8965" width="17.140625" style="569" customWidth="1"/>
    <col min="8966" max="8966" width="15.140625" style="569" customWidth="1"/>
    <col min="8967" max="8967" width="14.7109375" style="569" customWidth="1"/>
    <col min="8968" max="9218" width="9.140625" style="569"/>
    <col min="9219" max="9219" width="3.28515625" style="569" customWidth="1"/>
    <col min="9220" max="9220" width="16" style="569" customWidth="1"/>
    <col min="9221" max="9221" width="17.140625" style="569" customWidth="1"/>
    <col min="9222" max="9222" width="15.140625" style="569" customWidth="1"/>
    <col min="9223" max="9223" width="14.7109375" style="569" customWidth="1"/>
    <col min="9224" max="9474" width="9.140625" style="569"/>
    <col min="9475" max="9475" width="3.28515625" style="569" customWidth="1"/>
    <col min="9476" max="9476" width="16" style="569" customWidth="1"/>
    <col min="9477" max="9477" width="17.140625" style="569" customWidth="1"/>
    <col min="9478" max="9478" width="15.140625" style="569" customWidth="1"/>
    <col min="9479" max="9479" width="14.7109375" style="569" customWidth="1"/>
    <col min="9480" max="9730" width="9.140625" style="569"/>
    <col min="9731" max="9731" width="3.28515625" style="569" customWidth="1"/>
    <col min="9732" max="9732" width="16" style="569" customWidth="1"/>
    <col min="9733" max="9733" width="17.140625" style="569" customWidth="1"/>
    <col min="9734" max="9734" width="15.140625" style="569" customWidth="1"/>
    <col min="9735" max="9735" width="14.7109375" style="569" customWidth="1"/>
    <col min="9736" max="9986" width="9.140625" style="569"/>
    <col min="9987" max="9987" width="3.28515625" style="569" customWidth="1"/>
    <col min="9988" max="9988" width="16" style="569" customWidth="1"/>
    <col min="9989" max="9989" width="17.140625" style="569" customWidth="1"/>
    <col min="9990" max="9990" width="15.140625" style="569" customWidth="1"/>
    <col min="9991" max="9991" width="14.7109375" style="569" customWidth="1"/>
    <col min="9992" max="10242" width="9.140625" style="569"/>
    <col min="10243" max="10243" width="3.28515625" style="569" customWidth="1"/>
    <col min="10244" max="10244" width="16" style="569" customWidth="1"/>
    <col min="10245" max="10245" width="17.140625" style="569" customWidth="1"/>
    <col min="10246" max="10246" width="15.140625" style="569" customWidth="1"/>
    <col min="10247" max="10247" width="14.7109375" style="569" customWidth="1"/>
    <col min="10248" max="10498" width="9.140625" style="569"/>
    <col min="10499" max="10499" width="3.28515625" style="569" customWidth="1"/>
    <col min="10500" max="10500" width="16" style="569" customWidth="1"/>
    <col min="10501" max="10501" width="17.140625" style="569" customWidth="1"/>
    <col min="10502" max="10502" width="15.140625" style="569" customWidth="1"/>
    <col min="10503" max="10503" width="14.7109375" style="569" customWidth="1"/>
    <col min="10504" max="10754" width="9.140625" style="569"/>
    <col min="10755" max="10755" width="3.28515625" style="569" customWidth="1"/>
    <col min="10756" max="10756" width="16" style="569" customWidth="1"/>
    <col min="10757" max="10757" width="17.140625" style="569" customWidth="1"/>
    <col min="10758" max="10758" width="15.140625" style="569" customWidth="1"/>
    <col min="10759" max="10759" width="14.7109375" style="569" customWidth="1"/>
    <col min="10760" max="11010" width="9.140625" style="569"/>
    <col min="11011" max="11011" width="3.28515625" style="569" customWidth="1"/>
    <col min="11012" max="11012" width="16" style="569" customWidth="1"/>
    <col min="11013" max="11013" width="17.140625" style="569" customWidth="1"/>
    <col min="11014" max="11014" width="15.140625" style="569" customWidth="1"/>
    <col min="11015" max="11015" width="14.7109375" style="569" customWidth="1"/>
    <col min="11016" max="11266" width="9.140625" style="569"/>
    <col min="11267" max="11267" width="3.28515625" style="569" customWidth="1"/>
    <col min="11268" max="11268" width="16" style="569" customWidth="1"/>
    <col min="11269" max="11269" width="17.140625" style="569" customWidth="1"/>
    <col min="11270" max="11270" width="15.140625" style="569" customWidth="1"/>
    <col min="11271" max="11271" width="14.7109375" style="569" customWidth="1"/>
    <col min="11272" max="11522" width="9.140625" style="569"/>
    <col min="11523" max="11523" width="3.28515625" style="569" customWidth="1"/>
    <col min="11524" max="11524" width="16" style="569" customWidth="1"/>
    <col min="11525" max="11525" width="17.140625" style="569" customWidth="1"/>
    <col min="11526" max="11526" width="15.140625" style="569" customWidth="1"/>
    <col min="11527" max="11527" width="14.7109375" style="569" customWidth="1"/>
    <col min="11528" max="11778" width="9.140625" style="569"/>
    <col min="11779" max="11779" width="3.28515625" style="569" customWidth="1"/>
    <col min="11780" max="11780" width="16" style="569" customWidth="1"/>
    <col min="11781" max="11781" width="17.140625" style="569" customWidth="1"/>
    <col min="11782" max="11782" width="15.140625" style="569" customWidth="1"/>
    <col min="11783" max="11783" width="14.7109375" style="569" customWidth="1"/>
    <col min="11784" max="12034" width="9.140625" style="569"/>
    <col min="12035" max="12035" width="3.28515625" style="569" customWidth="1"/>
    <col min="12036" max="12036" width="16" style="569" customWidth="1"/>
    <col min="12037" max="12037" width="17.140625" style="569" customWidth="1"/>
    <col min="12038" max="12038" width="15.140625" style="569" customWidth="1"/>
    <col min="12039" max="12039" width="14.7109375" style="569" customWidth="1"/>
    <col min="12040" max="12290" width="9.140625" style="569"/>
    <col min="12291" max="12291" width="3.28515625" style="569" customWidth="1"/>
    <col min="12292" max="12292" width="16" style="569" customWidth="1"/>
    <col min="12293" max="12293" width="17.140625" style="569" customWidth="1"/>
    <col min="12294" max="12294" width="15.140625" style="569" customWidth="1"/>
    <col min="12295" max="12295" width="14.7109375" style="569" customWidth="1"/>
    <col min="12296" max="12546" width="9.140625" style="569"/>
    <col min="12547" max="12547" width="3.28515625" style="569" customWidth="1"/>
    <col min="12548" max="12548" width="16" style="569" customWidth="1"/>
    <col min="12549" max="12549" width="17.140625" style="569" customWidth="1"/>
    <col min="12550" max="12550" width="15.140625" style="569" customWidth="1"/>
    <col min="12551" max="12551" width="14.7109375" style="569" customWidth="1"/>
    <col min="12552" max="12802" width="9.140625" style="569"/>
    <col min="12803" max="12803" width="3.28515625" style="569" customWidth="1"/>
    <col min="12804" max="12804" width="16" style="569" customWidth="1"/>
    <col min="12805" max="12805" width="17.140625" style="569" customWidth="1"/>
    <col min="12806" max="12806" width="15.140625" style="569" customWidth="1"/>
    <col min="12807" max="12807" width="14.7109375" style="569" customWidth="1"/>
    <col min="12808" max="13058" width="9.140625" style="569"/>
    <col min="13059" max="13059" width="3.28515625" style="569" customWidth="1"/>
    <col min="13060" max="13060" width="16" style="569" customWidth="1"/>
    <col min="13061" max="13061" width="17.140625" style="569" customWidth="1"/>
    <col min="13062" max="13062" width="15.140625" style="569" customWidth="1"/>
    <col min="13063" max="13063" width="14.7109375" style="569" customWidth="1"/>
    <col min="13064" max="13314" width="9.140625" style="569"/>
    <col min="13315" max="13315" width="3.28515625" style="569" customWidth="1"/>
    <col min="13316" max="13316" width="16" style="569" customWidth="1"/>
    <col min="13317" max="13317" width="17.140625" style="569" customWidth="1"/>
    <col min="13318" max="13318" width="15.140625" style="569" customWidth="1"/>
    <col min="13319" max="13319" width="14.7109375" style="569" customWidth="1"/>
    <col min="13320" max="13570" width="9.140625" style="569"/>
    <col min="13571" max="13571" width="3.28515625" style="569" customWidth="1"/>
    <col min="13572" max="13572" width="16" style="569" customWidth="1"/>
    <col min="13573" max="13573" width="17.140625" style="569" customWidth="1"/>
    <col min="13574" max="13574" width="15.140625" style="569" customWidth="1"/>
    <col min="13575" max="13575" width="14.7109375" style="569" customWidth="1"/>
    <col min="13576" max="13826" width="9.140625" style="569"/>
    <col min="13827" max="13827" width="3.28515625" style="569" customWidth="1"/>
    <col min="13828" max="13828" width="16" style="569" customWidth="1"/>
    <col min="13829" max="13829" width="17.140625" style="569" customWidth="1"/>
    <col min="13830" max="13830" width="15.140625" style="569" customWidth="1"/>
    <col min="13831" max="13831" width="14.7109375" style="569" customWidth="1"/>
    <col min="13832" max="14082" width="9.140625" style="569"/>
    <col min="14083" max="14083" width="3.28515625" style="569" customWidth="1"/>
    <col min="14084" max="14084" width="16" style="569" customWidth="1"/>
    <col min="14085" max="14085" width="17.140625" style="569" customWidth="1"/>
    <col min="14086" max="14086" width="15.140625" style="569" customWidth="1"/>
    <col min="14087" max="14087" width="14.7109375" style="569" customWidth="1"/>
    <col min="14088" max="14338" width="9.140625" style="569"/>
    <col min="14339" max="14339" width="3.28515625" style="569" customWidth="1"/>
    <col min="14340" max="14340" width="16" style="569" customWidth="1"/>
    <col min="14341" max="14341" width="17.140625" style="569" customWidth="1"/>
    <col min="14342" max="14342" width="15.140625" style="569" customWidth="1"/>
    <col min="14343" max="14343" width="14.7109375" style="569" customWidth="1"/>
    <col min="14344" max="14594" width="9.140625" style="569"/>
    <col min="14595" max="14595" width="3.28515625" style="569" customWidth="1"/>
    <col min="14596" max="14596" width="16" style="569" customWidth="1"/>
    <col min="14597" max="14597" width="17.140625" style="569" customWidth="1"/>
    <col min="14598" max="14598" width="15.140625" style="569" customWidth="1"/>
    <col min="14599" max="14599" width="14.7109375" style="569" customWidth="1"/>
    <col min="14600" max="14850" width="9.140625" style="569"/>
    <col min="14851" max="14851" width="3.28515625" style="569" customWidth="1"/>
    <col min="14852" max="14852" width="16" style="569" customWidth="1"/>
    <col min="14853" max="14853" width="17.140625" style="569" customWidth="1"/>
    <col min="14854" max="14854" width="15.140625" style="569" customWidth="1"/>
    <col min="14855" max="14855" width="14.7109375" style="569" customWidth="1"/>
    <col min="14856" max="15106" width="9.140625" style="569"/>
    <col min="15107" max="15107" width="3.28515625" style="569" customWidth="1"/>
    <col min="15108" max="15108" width="16" style="569" customWidth="1"/>
    <col min="15109" max="15109" width="17.140625" style="569" customWidth="1"/>
    <col min="15110" max="15110" width="15.140625" style="569" customWidth="1"/>
    <col min="15111" max="15111" width="14.7109375" style="569" customWidth="1"/>
    <col min="15112" max="15362" width="9.140625" style="569"/>
    <col min="15363" max="15363" width="3.28515625" style="569" customWidth="1"/>
    <col min="15364" max="15364" width="16" style="569" customWidth="1"/>
    <col min="15365" max="15365" width="17.140625" style="569" customWidth="1"/>
    <col min="15366" max="15366" width="15.140625" style="569" customWidth="1"/>
    <col min="15367" max="15367" width="14.7109375" style="569" customWidth="1"/>
    <col min="15368" max="15618" width="9.140625" style="569"/>
    <col min="15619" max="15619" width="3.28515625" style="569" customWidth="1"/>
    <col min="15620" max="15620" width="16" style="569" customWidth="1"/>
    <col min="15621" max="15621" width="17.140625" style="569" customWidth="1"/>
    <col min="15622" max="15622" width="15.140625" style="569" customWidth="1"/>
    <col min="15623" max="15623" width="14.7109375" style="569" customWidth="1"/>
    <col min="15624" max="15874" width="9.140625" style="569"/>
    <col min="15875" max="15875" width="3.28515625" style="569" customWidth="1"/>
    <col min="15876" max="15876" width="16" style="569" customWidth="1"/>
    <col min="15877" max="15877" width="17.140625" style="569" customWidth="1"/>
    <col min="15878" max="15878" width="15.140625" style="569" customWidth="1"/>
    <col min="15879" max="15879" width="14.7109375" style="569" customWidth="1"/>
    <col min="15880" max="16130" width="9.140625" style="569"/>
    <col min="16131" max="16131" width="3.28515625" style="569" customWidth="1"/>
    <col min="16132" max="16132" width="16" style="569" customWidth="1"/>
    <col min="16133" max="16133" width="17.140625" style="569" customWidth="1"/>
    <col min="16134" max="16134" width="15.140625" style="569" customWidth="1"/>
    <col min="16135" max="16135" width="14.7109375" style="569" customWidth="1"/>
    <col min="16136" max="16384" width="9.140625" style="569"/>
  </cols>
  <sheetData>
    <row r="1" spans="1:7" x14ac:dyDescent="0.25">
      <c r="G1" s="569" t="s">
        <v>593</v>
      </c>
    </row>
    <row r="3" spans="1:7" ht="23.25" customHeight="1" x14ac:dyDescent="0.3">
      <c r="A3" s="570" t="s">
        <v>574</v>
      </c>
    </row>
    <row r="7" spans="1:7" ht="17.25" customHeight="1" x14ac:dyDescent="0.35">
      <c r="C7" s="571"/>
    </row>
    <row r="9" spans="1:7" ht="26.25" x14ac:dyDescent="0.4">
      <c r="D9" s="572" t="s">
        <v>596</v>
      </c>
      <c r="E9" s="572" t="s">
        <v>575</v>
      </c>
      <c r="F9" s="572" t="s">
        <v>575</v>
      </c>
      <c r="G9" s="573" t="s">
        <v>597</v>
      </c>
    </row>
    <row r="10" spans="1:7" x14ac:dyDescent="0.25">
      <c r="G10" s="573" t="s">
        <v>598</v>
      </c>
    </row>
    <row r="12" spans="1:7" ht="23.25" customHeight="1" x14ac:dyDescent="0.25">
      <c r="A12" s="574" t="s">
        <v>576</v>
      </c>
    </row>
    <row r="13" spans="1:7" ht="20.25" customHeight="1" x14ac:dyDescent="0.25">
      <c r="D13" s="575" t="s">
        <v>578</v>
      </c>
      <c r="E13" s="575" t="s">
        <v>577</v>
      </c>
      <c r="F13" s="575" t="s">
        <v>578</v>
      </c>
      <c r="G13" s="575" t="s">
        <v>169</v>
      </c>
    </row>
    <row r="14" spans="1:7" ht="21" customHeight="1" x14ac:dyDescent="0.25">
      <c r="A14" s="569" t="s">
        <v>579</v>
      </c>
      <c r="D14" s="576">
        <v>56078</v>
      </c>
      <c r="E14" s="576">
        <v>54232</v>
      </c>
      <c r="F14" s="577">
        <v>52806</v>
      </c>
      <c r="G14" s="578">
        <f>F14/E14</f>
        <v>0.97370556129222596</v>
      </c>
    </row>
    <row r="15" spans="1:7" x14ac:dyDescent="0.25">
      <c r="F15" s="579"/>
      <c r="G15" s="580"/>
    </row>
    <row r="16" spans="1:7" x14ac:dyDescent="0.25">
      <c r="F16" s="581"/>
      <c r="G16" s="580"/>
    </row>
    <row r="17" spans="1:7" x14ac:dyDescent="0.25">
      <c r="F17" s="581"/>
      <c r="G17" s="580"/>
    </row>
    <row r="18" spans="1:7" ht="21" customHeight="1" x14ac:dyDescent="0.25">
      <c r="A18" s="574" t="s">
        <v>580</v>
      </c>
      <c r="F18" s="581"/>
      <c r="G18" s="580"/>
    </row>
    <row r="19" spans="1:7" ht="22.5" customHeight="1" x14ac:dyDescent="0.25">
      <c r="D19" s="575" t="s">
        <v>578</v>
      </c>
      <c r="E19" s="575" t="s">
        <v>577</v>
      </c>
      <c r="F19" s="582" t="s">
        <v>581</v>
      </c>
      <c r="G19" s="583" t="s">
        <v>169</v>
      </c>
    </row>
    <row r="20" spans="1:7" ht="19.5" customHeight="1" x14ac:dyDescent="0.25">
      <c r="A20" s="569" t="s">
        <v>582</v>
      </c>
      <c r="D20" s="579">
        <v>30865</v>
      </c>
      <c r="E20" s="579">
        <v>30280</v>
      </c>
      <c r="F20" s="581">
        <v>31237</v>
      </c>
      <c r="G20" s="580">
        <f>F20/E20</f>
        <v>1.0316050198150595</v>
      </c>
    </row>
    <row r="21" spans="1:7" ht="20.25" customHeight="1" x14ac:dyDescent="0.25">
      <c r="A21" s="569" t="s">
        <v>583</v>
      </c>
      <c r="D21" s="579">
        <v>2060</v>
      </c>
      <c r="E21" s="579">
        <v>2500</v>
      </c>
      <c r="F21" s="581">
        <v>2093</v>
      </c>
      <c r="G21" s="580">
        <f t="shared" ref="G21:G30" si="0">F21/E21</f>
        <v>0.83720000000000006</v>
      </c>
    </row>
    <row r="22" spans="1:7" ht="19.5" customHeight="1" x14ac:dyDescent="0.25">
      <c r="A22" s="569" t="s">
        <v>584</v>
      </c>
      <c r="D22" s="579">
        <v>9864</v>
      </c>
      <c r="E22" s="579">
        <v>11040</v>
      </c>
      <c r="F22" s="581">
        <v>9684</v>
      </c>
      <c r="G22" s="580">
        <f t="shared" si="0"/>
        <v>0.87717391304347825</v>
      </c>
    </row>
    <row r="23" spans="1:7" ht="18.75" customHeight="1" x14ac:dyDescent="0.25">
      <c r="A23" s="569" t="s">
        <v>585</v>
      </c>
      <c r="D23" s="579">
        <v>5366</v>
      </c>
      <c r="E23" s="579">
        <v>5096</v>
      </c>
      <c r="F23" s="581">
        <v>5051</v>
      </c>
      <c r="G23" s="580">
        <f t="shared" si="0"/>
        <v>0.9911695447409733</v>
      </c>
    </row>
    <row r="24" spans="1:7" ht="19.5" customHeight="1" x14ac:dyDescent="0.25">
      <c r="A24" s="569" t="s">
        <v>586</v>
      </c>
      <c r="D24" s="579">
        <v>4343</v>
      </c>
      <c r="E24" s="579">
        <v>1580</v>
      </c>
      <c r="F24" s="581">
        <v>2083</v>
      </c>
      <c r="G24" s="580">
        <f t="shared" si="0"/>
        <v>1.3183544303797468</v>
      </c>
    </row>
    <row r="25" spans="1:7" ht="19.5" customHeight="1" x14ac:dyDescent="0.25">
      <c r="A25" s="569" t="s">
        <v>587</v>
      </c>
      <c r="D25" s="579">
        <v>2119</v>
      </c>
      <c r="E25" s="579">
        <v>2160</v>
      </c>
      <c r="F25" s="581">
        <v>2123</v>
      </c>
      <c r="G25" s="580">
        <f t="shared" si="0"/>
        <v>0.98287037037037039</v>
      </c>
    </row>
    <row r="26" spans="1:7" ht="18.75" customHeight="1" x14ac:dyDescent="0.25">
      <c r="A26" s="569" t="s">
        <v>588</v>
      </c>
      <c r="D26" s="579">
        <v>303</v>
      </c>
      <c r="E26" s="579">
        <v>300</v>
      </c>
      <c r="F26" s="581">
        <v>296</v>
      </c>
      <c r="G26" s="580">
        <f t="shared" si="0"/>
        <v>0.98666666666666669</v>
      </c>
    </row>
    <row r="27" spans="1:7" ht="19.5" customHeight="1" x14ac:dyDescent="0.25">
      <c r="A27" s="569" t="s">
        <v>589</v>
      </c>
      <c r="D27" s="579">
        <v>820</v>
      </c>
      <c r="E27" s="579">
        <v>820</v>
      </c>
      <c r="F27" s="581">
        <v>0</v>
      </c>
      <c r="G27" s="580">
        <f t="shared" si="0"/>
        <v>0</v>
      </c>
    </row>
    <row r="28" spans="1:7" ht="21.75" customHeight="1" x14ac:dyDescent="0.25">
      <c r="A28" s="569" t="s">
        <v>599</v>
      </c>
      <c r="D28" s="579">
        <v>305</v>
      </c>
      <c r="E28" s="579">
        <v>306</v>
      </c>
      <c r="F28" s="581">
        <v>292</v>
      </c>
      <c r="G28" s="580">
        <f t="shared" si="0"/>
        <v>0.95424836601307195</v>
      </c>
    </row>
    <row r="29" spans="1:7" ht="18.75" customHeight="1" x14ac:dyDescent="0.25">
      <c r="A29" s="569" t="s">
        <v>590</v>
      </c>
      <c r="D29" s="579">
        <v>0</v>
      </c>
      <c r="E29" s="579">
        <v>150</v>
      </c>
      <c r="F29" s="581">
        <v>0</v>
      </c>
      <c r="G29" s="580">
        <f t="shared" si="0"/>
        <v>0</v>
      </c>
    </row>
    <row r="30" spans="1:7" ht="18.75" customHeight="1" x14ac:dyDescent="0.25">
      <c r="A30" s="569" t="s">
        <v>591</v>
      </c>
      <c r="D30" s="576">
        <v>56045</v>
      </c>
      <c r="E30" s="576">
        <f>SUM(E20:E29)</f>
        <v>54232</v>
      </c>
      <c r="F30" s="577">
        <f>SUM(F20:F29)</f>
        <v>52859</v>
      </c>
      <c r="G30" s="578">
        <f t="shared" si="0"/>
        <v>0.97468284407729755</v>
      </c>
    </row>
    <row r="31" spans="1:7" ht="18.75" customHeight="1" x14ac:dyDescent="0.25"/>
    <row r="33" spans="1:6" ht="15.75" x14ac:dyDescent="0.25">
      <c r="A33" s="574" t="s">
        <v>592</v>
      </c>
      <c r="D33" s="574">
        <v>33</v>
      </c>
      <c r="E33" s="574">
        <v>0</v>
      </c>
      <c r="F33" s="584">
        <v>-53</v>
      </c>
    </row>
  </sheetData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I1" sqref="I1"/>
    </sheetView>
  </sheetViews>
  <sheetFormatPr defaultRowHeight="15" x14ac:dyDescent="0.25"/>
  <cols>
    <col min="1" max="2" width="9.140625" style="569"/>
    <col min="3" max="3" width="6.28515625" style="569" customWidth="1"/>
    <col min="4" max="4" width="15" style="569" customWidth="1"/>
    <col min="5" max="5" width="14.5703125" style="569" customWidth="1"/>
    <col min="6" max="6" width="14.85546875" style="569" customWidth="1"/>
    <col min="7" max="7" width="15" style="569" customWidth="1"/>
    <col min="8" max="258" width="9.140625" style="569"/>
    <col min="259" max="259" width="6.28515625" style="569" customWidth="1"/>
    <col min="260" max="260" width="15" style="569" customWidth="1"/>
    <col min="261" max="261" width="14.5703125" style="569" customWidth="1"/>
    <col min="262" max="262" width="14.85546875" style="569" customWidth="1"/>
    <col min="263" max="263" width="15" style="569" customWidth="1"/>
    <col min="264" max="514" width="9.140625" style="569"/>
    <col min="515" max="515" width="6.28515625" style="569" customWidth="1"/>
    <col min="516" max="516" width="15" style="569" customWidth="1"/>
    <col min="517" max="517" width="14.5703125" style="569" customWidth="1"/>
    <col min="518" max="518" width="14.85546875" style="569" customWidth="1"/>
    <col min="519" max="519" width="15" style="569" customWidth="1"/>
    <col min="520" max="770" width="9.140625" style="569"/>
    <col min="771" max="771" width="6.28515625" style="569" customWidth="1"/>
    <col min="772" max="772" width="15" style="569" customWidth="1"/>
    <col min="773" max="773" width="14.5703125" style="569" customWidth="1"/>
    <col min="774" max="774" width="14.85546875" style="569" customWidth="1"/>
    <col min="775" max="775" width="15" style="569" customWidth="1"/>
    <col min="776" max="1026" width="9.140625" style="569"/>
    <col min="1027" max="1027" width="6.28515625" style="569" customWidth="1"/>
    <col min="1028" max="1028" width="15" style="569" customWidth="1"/>
    <col min="1029" max="1029" width="14.5703125" style="569" customWidth="1"/>
    <col min="1030" max="1030" width="14.85546875" style="569" customWidth="1"/>
    <col min="1031" max="1031" width="15" style="569" customWidth="1"/>
    <col min="1032" max="1282" width="9.140625" style="569"/>
    <col min="1283" max="1283" width="6.28515625" style="569" customWidth="1"/>
    <col min="1284" max="1284" width="15" style="569" customWidth="1"/>
    <col min="1285" max="1285" width="14.5703125" style="569" customWidth="1"/>
    <col min="1286" max="1286" width="14.85546875" style="569" customWidth="1"/>
    <col min="1287" max="1287" width="15" style="569" customWidth="1"/>
    <col min="1288" max="1538" width="9.140625" style="569"/>
    <col min="1539" max="1539" width="6.28515625" style="569" customWidth="1"/>
    <col min="1540" max="1540" width="15" style="569" customWidth="1"/>
    <col min="1541" max="1541" width="14.5703125" style="569" customWidth="1"/>
    <col min="1542" max="1542" width="14.85546875" style="569" customWidth="1"/>
    <col min="1543" max="1543" width="15" style="569" customWidth="1"/>
    <col min="1544" max="1794" width="9.140625" style="569"/>
    <col min="1795" max="1795" width="6.28515625" style="569" customWidth="1"/>
    <col min="1796" max="1796" width="15" style="569" customWidth="1"/>
    <col min="1797" max="1797" width="14.5703125" style="569" customWidth="1"/>
    <col min="1798" max="1798" width="14.85546875" style="569" customWidth="1"/>
    <col min="1799" max="1799" width="15" style="569" customWidth="1"/>
    <col min="1800" max="2050" width="9.140625" style="569"/>
    <col min="2051" max="2051" width="6.28515625" style="569" customWidth="1"/>
    <col min="2052" max="2052" width="15" style="569" customWidth="1"/>
    <col min="2053" max="2053" width="14.5703125" style="569" customWidth="1"/>
    <col min="2054" max="2054" width="14.85546875" style="569" customWidth="1"/>
    <col min="2055" max="2055" width="15" style="569" customWidth="1"/>
    <col min="2056" max="2306" width="9.140625" style="569"/>
    <col min="2307" max="2307" width="6.28515625" style="569" customWidth="1"/>
    <col min="2308" max="2308" width="15" style="569" customWidth="1"/>
    <col min="2309" max="2309" width="14.5703125" style="569" customWidth="1"/>
    <col min="2310" max="2310" width="14.85546875" style="569" customWidth="1"/>
    <col min="2311" max="2311" width="15" style="569" customWidth="1"/>
    <col min="2312" max="2562" width="9.140625" style="569"/>
    <col min="2563" max="2563" width="6.28515625" style="569" customWidth="1"/>
    <col min="2564" max="2564" width="15" style="569" customWidth="1"/>
    <col min="2565" max="2565" width="14.5703125" style="569" customWidth="1"/>
    <col min="2566" max="2566" width="14.85546875" style="569" customWidth="1"/>
    <col min="2567" max="2567" width="15" style="569" customWidth="1"/>
    <col min="2568" max="2818" width="9.140625" style="569"/>
    <col min="2819" max="2819" width="6.28515625" style="569" customWidth="1"/>
    <col min="2820" max="2820" width="15" style="569" customWidth="1"/>
    <col min="2821" max="2821" width="14.5703125" style="569" customWidth="1"/>
    <col min="2822" max="2822" width="14.85546875" style="569" customWidth="1"/>
    <col min="2823" max="2823" width="15" style="569" customWidth="1"/>
    <col min="2824" max="3074" width="9.140625" style="569"/>
    <col min="3075" max="3075" width="6.28515625" style="569" customWidth="1"/>
    <col min="3076" max="3076" width="15" style="569" customWidth="1"/>
    <col min="3077" max="3077" width="14.5703125" style="569" customWidth="1"/>
    <col min="3078" max="3078" width="14.85546875" style="569" customWidth="1"/>
    <col min="3079" max="3079" width="15" style="569" customWidth="1"/>
    <col min="3080" max="3330" width="9.140625" style="569"/>
    <col min="3331" max="3331" width="6.28515625" style="569" customWidth="1"/>
    <col min="3332" max="3332" width="15" style="569" customWidth="1"/>
    <col min="3333" max="3333" width="14.5703125" style="569" customWidth="1"/>
    <col min="3334" max="3334" width="14.85546875" style="569" customWidth="1"/>
    <col min="3335" max="3335" width="15" style="569" customWidth="1"/>
    <col min="3336" max="3586" width="9.140625" style="569"/>
    <col min="3587" max="3587" width="6.28515625" style="569" customWidth="1"/>
    <col min="3588" max="3588" width="15" style="569" customWidth="1"/>
    <col min="3589" max="3589" width="14.5703125" style="569" customWidth="1"/>
    <col min="3590" max="3590" width="14.85546875" style="569" customWidth="1"/>
    <col min="3591" max="3591" width="15" style="569" customWidth="1"/>
    <col min="3592" max="3842" width="9.140625" style="569"/>
    <col min="3843" max="3843" width="6.28515625" style="569" customWidth="1"/>
    <col min="3844" max="3844" width="15" style="569" customWidth="1"/>
    <col min="3845" max="3845" width="14.5703125" style="569" customWidth="1"/>
    <col min="3846" max="3846" width="14.85546875" style="569" customWidth="1"/>
    <col min="3847" max="3847" width="15" style="569" customWidth="1"/>
    <col min="3848" max="4098" width="9.140625" style="569"/>
    <col min="4099" max="4099" width="6.28515625" style="569" customWidth="1"/>
    <col min="4100" max="4100" width="15" style="569" customWidth="1"/>
    <col min="4101" max="4101" width="14.5703125" style="569" customWidth="1"/>
    <col min="4102" max="4102" width="14.85546875" style="569" customWidth="1"/>
    <col min="4103" max="4103" width="15" style="569" customWidth="1"/>
    <col min="4104" max="4354" width="9.140625" style="569"/>
    <col min="4355" max="4355" width="6.28515625" style="569" customWidth="1"/>
    <col min="4356" max="4356" width="15" style="569" customWidth="1"/>
    <col min="4357" max="4357" width="14.5703125" style="569" customWidth="1"/>
    <col min="4358" max="4358" width="14.85546875" style="569" customWidth="1"/>
    <col min="4359" max="4359" width="15" style="569" customWidth="1"/>
    <col min="4360" max="4610" width="9.140625" style="569"/>
    <col min="4611" max="4611" width="6.28515625" style="569" customWidth="1"/>
    <col min="4612" max="4612" width="15" style="569" customWidth="1"/>
    <col min="4613" max="4613" width="14.5703125" style="569" customWidth="1"/>
    <col min="4614" max="4614" width="14.85546875" style="569" customWidth="1"/>
    <col min="4615" max="4615" width="15" style="569" customWidth="1"/>
    <col min="4616" max="4866" width="9.140625" style="569"/>
    <col min="4867" max="4867" width="6.28515625" style="569" customWidth="1"/>
    <col min="4868" max="4868" width="15" style="569" customWidth="1"/>
    <col min="4869" max="4869" width="14.5703125" style="569" customWidth="1"/>
    <col min="4870" max="4870" width="14.85546875" style="569" customWidth="1"/>
    <col min="4871" max="4871" width="15" style="569" customWidth="1"/>
    <col min="4872" max="5122" width="9.140625" style="569"/>
    <col min="5123" max="5123" width="6.28515625" style="569" customWidth="1"/>
    <col min="5124" max="5124" width="15" style="569" customWidth="1"/>
    <col min="5125" max="5125" width="14.5703125" style="569" customWidth="1"/>
    <col min="5126" max="5126" width="14.85546875" style="569" customWidth="1"/>
    <col min="5127" max="5127" width="15" style="569" customWidth="1"/>
    <col min="5128" max="5378" width="9.140625" style="569"/>
    <col min="5379" max="5379" width="6.28515625" style="569" customWidth="1"/>
    <col min="5380" max="5380" width="15" style="569" customWidth="1"/>
    <col min="5381" max="5381" width="14.5703125" style="569" customWidth="1"/>
    <col min="5382" max="5382" width="14.85546875" style="569" customWidth="1"/>
    <col min="5383" max="5383" width="15" style="569" customWidth="1"/>
    <col min="5384" max="5634" width="9.140625" style="569"/>
    <col min="5635" max="5635" width="6.28515625" style="569" customWidth="1"/>
    <col min="5636" max="5636" width="15" style="569" customWidth="1"/>
    <col min="5637" max="5637" width="14.5703125" style="569" customWidth="1"/>
    <col min="5638" max="5638" width="14.85546875" style="569" customWidth="1"/>
    <col min="5639" max="5639" width="15" style="569" customWidth="1"/>
    <col min="5640" max="5890" width="9.140625" style="569"/>
    <col min="5891" max="5891" width="6.28515625" style="569" customWidth="1"/>
    <col min="5892" max="5892" width="15" style="569" customWidth="1"/>
    <col min="5893" max="5893" width="14.5703125" style="569" customWidth="1"/>
    <col min="5894" max="5894" width="14.85546875" style="569" customWidth="1"/>
    <col min="5895" max="5895" width="15" style="569" customWidth="1"/>
    <col min="5896" max="6146" width="9.140625" style="569"/>
    <col min="6147" max="6147" width="6.28515625" style="569" customWidth="1"/>
    <col min="6148" max="6148" width="15" style="569" customWidth="1"/>
    <col min="6149" max="6149" width="14.5703125" style="569" customWidth="1"/>
    <col min="6150" max="6150" width="14.85546875" style="569" customWidth="1"/>
    <col min="6151" max="6151" width="15" style="569" customWidth="1"/>
    <col min="6152" max="6402" width="9.140625" style="569"/>
    <col min="6403" max="6403" width="6.28515625" style="569" customWidth="1"/>
    <col min="6404" max="6404" width="15" style="569" customWidth="1"/>
    <col min="6405" max="6405" width="14.5703125" style="569" customWidth="1"/>
    <col min="6406" max="6406" width="14.85546875" style="569" customWidth="1"/>
    <col min="6407" max="6407" width="15" style="569" customWidth="1"/>
    <col min="6408" max="6658" width="9.140625" style="569"/>
    <col min="6659" max="6659" width="6.28515625" style="569" customWidth="1"/>
    <col min="6660" max="6660" width="15" style="569" customWidth="1"/>
    <col min="6661" max="6661" width="14.5703125" style="569" customWidth="1"/>
    <col min="6662" max="6662" width="14.85546875" style="569" customWidth="1"/>
    <col min="6663" max="6663" width="15" style="569" customWidth="1"/>
    <col min="6664" max="6914" width="9.140625" style="569"/>
    <col min="6915" max="6915" width="6.28515625" style="569" customWidth="1"/>
    <col min="6916" max="6916" width="15" style="569" customWidth="1"/>
    <col min="6917" max="6917" width="14.5703125" style="569" customWidth="1"/>
    <col min="6918" max="6918" width="14.85546875" style="569" customWidth="1"/>
    <col min="6919" max="6919" width="15" style="569" customWidth="1"/>
    <col min="6920" max="7170" width="9.140625" style="569"/>
    <col min="7171" max="7171" width="6.28515625" style="569" customWidth="1"/>
    <col min="7172" max="7172" width="15" style="569" customWidth="1"/>
    <col min="7173" max="7173" width="14.5703125" style="569" customWidth="1"/>
    <col min="7174" max="7174" width="14.85546875" style="569" customWidth="1"/>
    <col min="7175" max="7175" width="15" style="569" customWidth="1"/>
    <col min="7176" max="7426" width="9.140625" style="569"/>
    <col min="7427" max="7427" width="6.28515625" style="569" customWidth="1"/>
    <col min="7428" max="7428" width="15" style="569" customWidth="1"/>
    <col min="7429" max="7429" width="14.5703125" style="569" customWidth="1"/>
    <col min="7430" max="7430" width="14.85546875" style="569" customWidth="1"/>
    <col min="7431" max="7431" width="15" style="569" customWidth="1"/>
    <col min="7432" max="7682" width="9.140625" style="569"/>
    <col min="7683" max="7683" width="6.28515625" style="569" customWidth="1"/>
    <col min="7684" max="7684" width="15" style="569" customWidth="1"/>
    <col min="7685" max="7685" width="14.5703125" style="569" customWidth="1"/>
    <col min="7686" max="7686" width="14.85546875" style="569" customWidth="1"/>
    <col min="7687" max="7687" width="15" style="569" customWidth="1"/>
    <col min="7688" max="7938" width="9.140625" style="569"/>
    <col min="7939" max="7939" width="6.28515625" style="569" customWidth="1"/>
    <col min="7940" max="7940" width="15" style="569" customWidth="1"/>
    <col min="7941" max="7941" width="14.5703125" style="569" customWidth="1"/>
    <col min="7942" max="7942" width="14.85546875" style="569" customWidth="1"/>
    <col min="7943" max="7943" width="15" style="569" customWidth="1"/>
    <col min="7944" max="8194" width="9.140625" style="569"/>
    <col min="8195" max="8195" width="6.28515625" style="569" customWidth="1"/>
    <col min="8196" max="8196" width="15" style="569" customWidth="1"/>
    <col min="8197" max="8197" width="14.5703125" style="569" customWidth="1"/>
    <col min="8198" max="8198" width="14.85546875" style="569" customWidth="1"/>
    <col min="8199" max="8199" width="15" style="569" customWidth="1"/>
    <col min="8200" max="8450" width="9.140625" style="569"/>
    <col min="8451" max="8451" width="6.28515625" style="569" customWidth="1"/>
    <col min="8452" max="8452" width="15" style="569" customWidth="1"/>
    <col min="8453" max="8453" width="14.5703125" style="569" customWidth="1"/>
    <col min="8454" max="8454" width="14.85546875" style="569" customWidth="1"/>
    <col min="8455" max="8455" width="15" style="569" customWidth="1"/>
    <col min="8456" max="8706" width="9.140625" style="569"/>
    <col min="8707" max="8707" width="6.28515625" style="569" customWidth="1"/>
    <col min="8708" max="8708" width="15" style="569" customWidth="1"/>
    <col min="8709" max="8709" width="14.5703125" style="569" customWidth="1"/>
    <col min="8710" max="8710" width="14.85546875" style="569" customWidth="1"/>
    <col min="8711" max="8711" width="15" style="569" customWidth="1"/>
    <col min="8712" max="8962" width="9.140625" style="569"/>
    <col min="8963" max="8963" width="6.28515625" style="569" customWidth="1"/>
    <col min="8964" max="8964" width="15" style="569" customWidth="1"/>
    <col min="8965" max="8965" width="14.5703125" style="569" customWidth="1"/>
    <col min="8966" max="8966" width="14.85546875" style="569" customWidth="1"/>
    <col min="8967" max="8967" width="15" style="569" customWidth="1"/>
    <col min="8968" max="9218" width="9.140625" style="569"/>
    <col min="9219" max="9219" width="6.28515625" style="569" customWidth="1"/>
    <col min="9220" max="9220" width="15" style="569" customWidth="1"/>
    <col min="9221" max="9221" width="14.5703125" style="569" customWidth="1"/>
    <col min="9222" max="9222" width="14.85546875" style="569" customWidth="1"/>
    <col min="9223" max="9223" width="15" style="569" customWidth="1"/>
    <col min="9224" max="9474" width="9.140625" style="569"/>
    <col min="9475" max="9475" width="6.28515625" style="569" customWidth="1"/>
    <col min="9476" max="9476" width="15" style="569" customWidth="1"/>
    <col min="9477" max="9477" width="14.5703125" style="569" customWidth="1"/>
    <col min="9478" max="9478" width="14.85546875" style="569" customWidth="1"/>
    <col min="9479" max="9479" width="15" style="569" customWidth="1"/>
    <col min="9480" max="9730" width="9.140625" style="569"/>
    <col min="9731" max="9731" width="6.28515625" style="569" customWidth="1"/>
    <col min="9732" max="9732" width="15" style="569" customWidth="1"/>
    <col min="9733" max="9733" width="14.5703125" style="569" customWidth="1"/>
    <col min="9734" max="9734" width="14.85546875" style="569" customWidth="1"/>
    <col min="9735" max="9735" width="15" style="569" customWidth="1"/>
    <col min="9736" max="9986" width="9.140625" style="569"/>
    <col min="9987" max="9987" width="6.28515625" style="569" customWidth="1"/>
    <col min="9988" max="9988" width="15" style="569" customWidth="1"/>
    <col min="9989" max="9989" width="14.5703125" style="569" customWidth="1"/>
    <col min="9990" max="9990" width="14.85546875" style="569" customWidth="1"/>
    <col min="9991" max="9991" width="15" style="569" customWidth="1"/>
    <col min="9992" max="10242" width="9.140625" style="569"/>
    <col min="10243" max="10243" width="6.28515625" style="569" customWidth="1"/>
    <col min="10244" max="10244" width="15" style="569" customWidth="1"/>
    <col min="10245" max="10245" width="14.5703125" style="569" customWidth="1"/>
    <col min="10246" max="10246" width="14.85546875" style="569" customWidth="1"/>
    <col min="10247" max="10247" width="15" style="569" customWidth="1"/>
    <col min="10248" max="10498" width="9.140625" style="569"/>
    <col min="10499" max="10499" width="6.28515625" style="569" customWidth="1"/>
    <col min="10500" max="10500" width="15" style="569" customWidth="1"/>
    <col min="10501" max="10501" width="14.5703125" style="569" customWidth="1"/>
    <col min="10502" max="10502" width="14.85546875" style="569" customWidth="1"/>
    <col min="10503" max="10503" width="15" style="569" customWidth="1"/>
    <col min="10504" max="10754" width="9.140625" style="569"/>
    <col min="10755" max="10755" width="6.28515625" style="569" customWidth="1"/>
    <col min="10756" max="10756" width="15" style="569" customWidth="1"/>
    <col min="10757" max="10757" width="14.5703125" style="569" customWidth="1"/>
    <col min="10758" max="10758" width="14.85546875" style="569" customWidth="1"/>
    <col min="10759" max="10759" width="15" style="569" customWidth="1"/>
    <col min="10760" max="11010" width="9.140625" style="569"/>
    <col min="11011" max="11011" width="6.28515625" style="569" customWidth="1"/>
    <col min="11012" max="11012" width="15" style="569" customWidth="1"/>
    <col min="11013" max="11013" width="14.5703125" style="569" customWidth="1"/>
    <col min="11014" max="11014" width="14.85546875" style="569" customWidth="1"/>
    <col min="11015" max="11015" width="15" style="569" customWidth="1"/>
    <col min="11016" max="11266" width="9.140625" style="569"/>
    <col min="11267" max="11267" width="6.28515625" style="569" customWidth="1"/>
    <col min="11268" max="11268" width="15" style="569" customWidth="1"/>
    <col min="11269" max="11269" width="14.5703125" style="569" customWidth="1"/>
    <col min="11270" max="11270" width="14.85546875" style="569" customWidth="1"/>
    <col min="11271" max="11271" width="15" style="569" customWidth="1"/>
    <col min="11272" max="11522" width="9.140625" style="569"/>
    <col min="11523" max="11523" width="6.28515625" style="569" customWidth="1"/>
    <col min="11524" max="11524" width="15" style="569" customWidth="1"/>
    <col min="11525" max="11525" width="14.5703125" style="569" customWidth="1"/>
    <col min="11526" max="11526" width="14.85546875" style="569" customWidth="1"/>
    <col min="11527" max="11527" width="15" style="569" customWidth="1"/>
    <col min="11528" max="11778" width="9.140625" style="569"/>
    <col min="11779" max="11779" width="6.28515625" style="569" customWidth="1"/>
    <col min="11780" max="11780" width="15" style="569" customWidth="1"/>
    <col min="11781" max="11781" width="14.5703125" style="569" customWidth="1"/>
    <col min="11782" max="11782" width="14.85546875" style="569" customWidth="1"/>
    <col min="11783" max="11783" width="15" style="569" customWidth="1"/>
    <col min="11784" max="12034" width="9.140625" style="569"/>
    <col min="12035" max="12035" width="6.28515625" style="569" customWidth="1"/>
    <col min="12036" max="12036" width="15" style="569" customWidth="1"/>
    <col min="12037" max="12037" width="14.5703125" style="569" customWidth="1"/>
    <col min="12038" max="12038" width="14.85546875" style="569" customWidth="1"/>
    <col min="12039" max="12039" width="15" style="569" customWidth="1"/>
    <col min="12040" max="12290" width="9.140625" style="569"/>
    <col min="12291" max="12291" width="6.28515625" style="569" customWidth="1"/>
    <col min="12292" max="12292" width="15" style="569" customWidth="1"/>
    <col min="12293" max="12293" width="14.5703125" style="569" customWidth="1"/>
    <col min="12294" max="12294" width="14.85546875" style="569" customWidth="1"/>
    <col min="12295" max="12295" width="15" style="569" customWidth="1"/>
    <col min="12296" max="12546" width="9.140625" style="569"/>
    <col min="12547" max="12547" width="6.28515625" style="569" customWidth="1"/>
    <col min="12548" max="12548" width="15" style="569" customWidth="1"/>
    <col min="12549" max="12549" width="14.5703125" style="569" customWidth="1"/>
    <col min="12550" max="12550" width="14.85546875" style="569" customWidth="1"/>
    <col min="12551" max="12551" width="15" style="569" customWidth="1"/>
    <col min="12552" max="12802" width="9.140625" style="569"/>
    <col min="12803" max="12803" width="6.28515625" style="569" customWidth="1"/>
    <col min="12804" max="12804" width="15" style="569" customWidth="1"/>
    <col min="12805" max="12805" width="14.5703125" style="569" customWidth="1"/>
    <col min="12806" max="12806" width="14.85546875" style="569" customWidth="1"/>
    <col min="12807" max="12807" width="15" style="569" customWidth="1"/>
    <col min="12808" max="13058" width="9.140625" style="569"/>
    <col min="13059" max="13059" width="6.28515625" style="569" customWidth="1"/>
    <col min="13060" max="13060" width="15" style="569" customWidth="1"/>
    <col min="13061" max="13061" width="14.5703125" style="569" customWidth="1"/>
    <col min="13062" max="13062" width="14.85546875" style="569" customWidth="1"/>
    <col min="13063" max="13063" width="15" style="569" customWidth="1"/>
    <col min="13064" max="13314" width="9.140625" style="569"/>
    <col min="13315" max="13315" width="6.28515625" style="569" customWidth="1"/>
    <col min="13316" max="13316" width="15" style="569" customWidth="1"/>
    <col min="13317" max="13317" width="14.5703125" style="569" customWidth="1"/>
    <col min="13318" max="13318" width="14.85546875" style="569" customWidth="1"/>
    <col min="13319" max="13319" width="15" style="569" customWidth="1"/>
    <col min="13320" max="13570" width="9.140625" style="569"/>
    <col min="13571" max="13571" width="6.28515625" style="569" customWidth="1"/>
    <col min="13572" max="13572" width="15" style="569" customWidth="1"/>
    <col min="13573" max="13573" width="14.5703125" style="569" customWidth="1"/>
    <col min="13574" max="13574" width="14.85546875" style="569" customWidth="1"/>
    <col min="13575" max="13575" width="15" style="569" customWidth="1"/>
    <col min="13576" max="13826" width="9.140625" style="569"/>
    <col min="13827" max="13827" width="6.28515625" style="569" customWidth="1"/>
    <col min="13828" max="13828" width="15" style="569" customWidth="1"/>
    <col min="13829" max="13829" width="14.5703125" style="569" customWidth="1"/>
    <col min="13830" max="13830" width="14.85546875" style="569" customWidth="1"/>
    <col min="13831" max="13831" width="15" style="569" customWidth="1"/>
    <col min="13832" max="14082" width="9.140625" style="569"/>
    <col min="14083" max="14083" width="6.28515625" style="569" customWidth="1"/>
    <col min="14084" max="14084" width="15" style="569" customWidth="1"/>
    <col min="14085" max="14085" width="14.5703125" style="569" customWidth="1"/>
    <col min="14086" max="14086" width="14.85546875" style="569" customWidth="1"/>
    <col min="14087" max="14087" width="15" style="569" customWidth="1"/>
    <col min="14088" max="14338" width="9.140625" style="569"/>
    <col min="14339" max="14339" width="6.28515625" style="569" customWidth="1"/>
    <col min="14340" max="14340" width="15" style="569" customWidth="1"/>
    <col min="14341" max="14341" width="14.5703125" style="569" customWidth="1"/>
    <col min="14342" max="14342" width="14.85546875" style="569" customWidth="1"/>
    <col min="14343" max="14343" width="15" style="569" customWidth="1"/>
    <col min="14344" max="14594" width="9.140625" style="569"/>
    <col min="14595" max="14595" width="6.28515625" style="569" customWidth="1"/>
    <col min="14596" max="14596" width="15" style="569" customWidth="1"/>
    <col min="14597" max="14597" width="14.5703125" style="569" customWidth="1"/>
    <col min="14598" max="14598" width="14.85546875" style="569" customWidth="1"/>
    <col min="14599" max="14599" width="15" style="569" customWidth="1"/>
    <col min="14600" max="14850" width="9.140625" style="569"/>
    <col min="14851" max="14851" width="6.28515625" style="569" customWidth="1"/>
    <col min="14852" max="14852" width="15" style="569" customWidth="1"/>
    <col min="14853" max="14853" width="14.5703125" style="569" customWidth="1"/>
    <col min="14854" max="14854" width="14.85546875" style="569" customWidth="1"/>
    <col min="14855" max="14855" width="15" style="569" customWidth="1"/>
    <col min="14856" max="15106" width="9.140625" style="569"/>
    <col min="15107" max="15107" width="6.28515625" style="569" customWidth="1"/>
    <col min="15108" max="15108" width="15" style="569" customWidth="1"/>
    <col min="15109" max="15109" width="14.5703125" style="569" customWidth="1"/>
    <col min="15110" max="15110" width="14.85546875" style="569" customWidth="1"/>
    <col min="15111" max="15111" width="15" style="569" customWidth="1"/>
    <col min="15112" max="15362" width="9.140625" style="569"/>
    <col min="15363" max="15363" width="6.28515625" style="569" customWidth="1"/>
    <col min="15364" max="15364" width="15" style="569" customWidth="1"/>
    <col min="15365" max="15365" width="14.5703125" style="569" customWidth="1"/>
    <col min="15366" max="15366" width="14.85546875" style="569" customWidth="1"/>
    <col min="15367" max="15367" width="15" style="569" customWidth="1"/>
    <col min="15368" max="15618" width="9.140625" style="569"/>
    <col min="15619" max="15619" width="6.28515625" style="569" customWidth="1"/>
    <col min="15620" max="15620" width="15" style="569" customWidth="1"/>
    <col min="15621" max="15621" width="14.5703125" style="569" customWidth="1"/>
    <col min="15622" max="15622" width="14.85546875" style="569" customWidth="1"/>
    <col min="15623" max="15623" width="15" style="569" customWidth="1"/>
    <col min="15624" max="15874" width="9.140625" style="569"/>
    <col min="15875" max="15875" width="6.28515625" style="569" customWidth="1"/>
    <col min="15876" max="15876" width="15" style="569" customWidth="1"/>
    <col min="15877" max="15877" width="14.5703125" style="569" customWidth="1"/>
    <col min="15878" max="15878" width="14.85546875" style="569" customWidth="1"/>
    <col min="15879" max="15879" width="15" style="569" customWidth="1"/>
    <col min="15880" max="16130" width="9.140625" style="569"/>
    <col min="16131" max="16131" width="6.28515625" style="569" customWidth="1"/>
    <col min="16132" max="16132" width="15" style="569" customWidth="1"/>
    <col min="16133" max="16133" width="14.5703125" style="569" customWidth="1"/>
    <col min="16134" max="16134" width="14.85546875" style="569" customWidth="1"/>
    <col min="16135" max="16135" width="15" style="569" customWidth="1"/>
    <col min="16136" max="16384" width="9.140625" style="569"/>
  </cols>
  <sheetData>
    <row r="1" spans="1:7" x14ac:dyDescent="0.25">
      <c r="G1" s="569" t="s">
        <v>595</v>
      </c>
    </row>
    <row r="3" spans="1:7" ht="23.25" customHeight="1" x14ac:dyDescent="0.3">
      <c r="A3" s="570" t="s">
        <v>594</v>
      </c>
    </row>
    <row r="7" spans="1:7" ht="15" customHeight="1" x14ac:dyDescent="0.35">
      <c r="C7" s="571"/>
    </row>
    <row r="9" spans="1:7" ht="26.25" x14ac:dyDescent="0.4">
      <c r="D9" s="572" t="s">
        <v>596</v>
      </c>
      <c r="E9" s="572" t="s">
        <v>575</v>
      </c>
      <c r="F9" s="572" t="s">
        <v>575</v>
      </c>
      <c r="G9" s="573" t="s">
        <v>597</v>
      </c>
    </row>
    <row r="10" spans="1:7" ht="18" customHeight="1" x14ac:dyDescent="0.25">
      <c r="G10" s="573" t="s">
        <v>598</v>
      </c>
    </row>
    <row r="12" spans="1:7" ht="23.25" customHeight="1" x14ac:dyDescent="0.25">
      <c r="A12" s="574" t="s">
        <v>576</v>
      </c>
    </row>
    <row r="13" spans="1:7" ht="20.25" customHeight="1" x14ac:dyDescent="0.25">
      <c r="D13" s="575" t="s">
        <v>578</v>
      </c>
      <c r="E13" s="575" t="s">
        <v>577</v>
      </c>
      <c r="F13" s="575" t="s">
        <v>578</v>
      </c>
      <c r="G13" s="575" t="s">
        <v>169</v>
      </c>
    </row>
    <row r="14" spans="1:7" ht="21" customHeight="1" x14ac:dyDescent="0.25">
      <c r="A14" s="569" t="s">
        <v>579</v>
      </c>
      <c r="D14" s="576">
        <v>40772</v>
      </c>
      <c r="E14" s="576">
        <v>43783</v>
      </c>
      <c r="F14" s="577">
        <v>45856</v>
      </c>
      <c r="G14" s="578">
        <f>F14/E14</f>
        <v>1.0473471438686248</v>
      </c>
    </row>
    <row r="15" spans="1:7" x14ac:dyDescent="0.25">
      <c r="F15" s="579"/>
      <c r="G15" s="580"/>
    </row>
    <row r="16" spans="1:7" x14ac:dyDescent="0.25">
      <c r="F16" s="581"/>
      <c r="G16" s="580"/>
    </row>
    <row r="17" spans="1:7" x14ac:dyDescent="0.25">
      <c r="F17" s="581"/>
      <c r="G17" s="580"/>
    </row>
    <row r="18" spans="1:7" ht="21" customHeight="1" x14ac:dyDescent="0.25">
      <c r="A18" s="574" t="s">
        <v>580</v>
      </c>
      <c r="F18" s="581"/>
      <c r="G18" s="580"/>
    </row>
    <row r="19" spans="1:7" ht="22.5" customHeight="1" x14ac:dyDescent="0.25">
      <c r="D19" s="575" t="s">
        <v>578</v>
      </c>
      <c r="E19" s="575" t="s">
        <v>577</v>
      </c>
      <c r="F19" s="582" t="s">
        <v>578</v>
      </c>
      <c r="G19" s="583" t="s">
        <v>169</v>
      </c>
    </row>
    <row r="20" spans="1:7" ht="19.5" customHeight="1" x14ac:dyDescent="0.25">
      <c r="A20" s="569" t="s">
        <v>582</v>
      </c>
      <c r="D20" s="579">
        <v>21041</v>
      </c>
      <c r="E20" s="579">
        <v>22230</v>
      </c>
      <c r="F20" s="581">
        <v>22506</v>
      </c>
      <c r="G20" s="580">
        <f>F20/E20</f>
        <v>1.0124156545209178</v>
      </c>
    </row>
    <row r="21" spans="1:7" ht="20.25" customHeight="1" x14ac:dyDescent="0.25">
      <c r="A21" s="569" t="s">
        <v>583</v>
      </c>
      <c r="D21" s="579">
        <v>3323</v>
      </c>
      <c r="E21" s="579">
        <v>3360</v>
      </c>
      <c r="F21" s="581">
        <v>2223</v>
      </c>
      <c r="G21" s="580">
        <f t="shared" ref="G21:G30" si="0">F21/E21</f>
        <v>0.66160714285714284</v>
      </c>
    </row>
    <row r="22" spans="1:7" ht="19.5" customHeight="1" x14ac:dyDescent="0.25">
      <c r="A22" s="569" t="s">
        <v>584</v>
      </c>
      <c r="D22" s="579">
        <v>12515</v>
      </c>
      <c r="E22" s="579">
        <v>13200</v>
      </c>
      <c r="F22" s="581">
        <v>12762</v>
      </c>
      <c r="G22" s="580">
        <f t="shared" si="0"/>
        <v>0.9668181818181818</v>
      </c>
    </row>
    <row r="23" spans="1:7" ht="18.75" customHeight="1" x14ac:dyDescent="0.25">
      <c r="A23" s="569" t="s">
        <v>585</v>
      </c>
      <c r="D23" s="579">
        <v>1722</v>
      </c>
      <c r="E23" s="579">
        <v>2570</v>
      </c>
      <c r="F23" s="581">
        <v>4185</v>
      </c>
      <c r="G23" s="580">
        <f t="shared" si="0"/>
        <v>1.6284046692607004</v>
      </c>
    </row>
    <row r="24" spans="1:7" ht="19.5" customHeight="1" x14ac:dyDescent="0.25">
      <c r="A24" s="569" t="s">
        <v>586</v>
      </c>
      <c r="D24" s="579">
        <v>201</v>
      </c>
      <c r="E24" s="579">
        <v>280</v>
      </c>
      <c r="F24" s="581">
        <v>247</v>
      </c>
      <c r="G24" s="580">
        <f t="shared" si="0"/>
        <v>0.88214285714285712</v>
      </c>
    </row>
    <row r="25" spans="1:7" ht="19.5" customHeight="1" x14ac:dyDescent="0.25">
      <c r="A25" s="569" t="s">
        <v>587</v>
      </c>
      <c r="D25" s="579">
        <v>1177</v>
      </c>
      <c r="E25" s="579">
        <v>1200</v>
      </c>
      <c r="F25" s="581">
        <v>1177</v>
      </c>
      <c r="G25" s="580">
        <f t="shared" si="0"/>
        <v>0.98083333333333333</v>
      </c>
    </row>
    <row r="26" spans="1:7" ht="18.75" customHeight="1" x14ac:dyDescent="0.25">
      <c r="A26" s="569" t="s">
        <v>588</v>
      </c>
      <c r="D26" s="579">
        <v>239</v>
      </c>
      <c r="E26" s="579">
        <v>240</v>
      </c>
      <c r="F26" s="581">
        <v>257</v>
      </c>
      <c r="G26" s="580">
        <f t="shared" si="0"/>
        <v>1.0708333333333333</v>
      </c>
    </row>
    <row r="27" spans="1:7" ht="19.5" customHeight="1" x14ac:dyDescent="0.25">
      <c r="A27" s="569" t="s">
        <v>589</v>
      </c>
      <c r="D27" s="579">
        <v>247</v>
      </c>
      <c r="E27" s="579">
        <v>247</v>
      </c>
      <c r="F27" s="581">
        <v>0</v>
      </c>
      <c r="G27" s="580">
        <f t="shared" si="0"/>
        <v>0</v>
      </c>
    </row>
    <row r="28" spans="1:7" ht="21.75" customHeight="1" x14ac:dyDescent="0.25">
      <c r="A28" s="569" t="s">
        <v>600</v>
      </c>
      <c r="D28" s="579">
        <v>305</v>
      </c>
      <c r="E28" s="579">
        <v>306</v>
      </c>
      <c r="F28" s="581">
        <v>1410</v>
      </c>
      <c r="G28" s="580">
        <f t="shared" si="0"/>
        <v>4.6078431372549016</v>
      </c>
    </row>
    <row r="29" spans="1:7" ht="18.75" customHeight="1" x14ac:dyDescent="0.25">
      <c r="A29" s="569" t="s">
        <v>590</v>
      </c>
      <c r="D29" s="579">
        <v>0</v>
      </c>
      <c r="E29" s="579">
        <v>150</v>
      </c>
      <c r="F29" s="581">
        <v>0</v>
      </c>
      <c r="G29" s="580">
        <f t="shared" si="0"/>
        <v>0</v>
      </c>
    </row>
    <row r="30" spans="1:7" ht="18.75" customHeight="1" x14ac:dyDescent="0.25">
      <c r="A30" s="569" t="s">
        <v>591</v>
      </c>
      <c r="D30" s="576">
        <v>40770</v>
      </c>
      <c r="E30" s="576">
        <f>SUM(E20:E29)</f>
        <v>43783</v>
      </c>
      <c r="F30" s="577">
        <f>SUM(F20:F29)</f>
        <v>44767</v>
      </c>
      <c r="G30" s="578">
        <f t="shared" si="0"/>
        <v>1.0224744763949478</v>
      </c>
    </row>
    <row r="31" spans="1:7" ht="18.75" customHeight="1" x14ac:dyDescent="0.25"/>
    <row r="33" spans="1:6" ht="15.75" x14ac:dyDescent="0.25">
      <c r="A33" s="574" t="s">
        <v>592</v>
      </c>
      <c r="D33" s="574">
        <v>2</v>
      </c>
      <c r="E33" s="574">
        <v>0</v>
      </c>
      <c r="F33" s="584">
        <v>1089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21</vt:i4>
      </vt:variant>
      <vt:variant>
        <vt:lpstr>Névvel ellátott tartományok</vt:lpstr>
      </vt:variant>
      <vt:variant>
        <vt:i4>6</vt:i4>
      </vt:variant>
    </vt:vector>
  </HeadingPairs>
  <TitlesOfParts>
    <vt:vector size="27" baseType="lpstr">
      <vt:lpstr>1</vt:lpstr>
      <vt:lpstr>1 (szegedi)</vt:lpstr>
      <vt:lpstr>1 (visegrádi)</vt:lpstr>
      <vt:lpstr>2</vt:lpstr>
      <vt:lpstr>3</vt:lpstr>
      <vt:lpstr>4</vt:lpstr>
      <vt:lpstr>5</vt:lpstr>
      <vt:lpstr>6 (állományi)</vt:lpstr>
      <vt:lpstr>6 (statisztikai)</vt:lpstr>
      <vt:lpstr>7</vt:lpstr>
      <vt:lpstr>8</vt:lpstr>
      <vt:lpstr>9</vt:lpstr>
      <vt:lpstr>10</vt:lpstr>
      <vt:lpstr>10 (egyenleg)</vt:lpstr>
      <vt:lpstr>Beruházás</vt:lpstr>
      <vt:lpstr>Beruházás2</vt:lpstr>
      <vt:lpstr>Eszközök</vt:lpstr>
      <vt:lpstr>Források</vt:lpstr>
      <vt:lpstr>Eredmény</vt:lpstr>
      <vt:lpstr>Szegedi</vt:lpstr>
      <vt:lpstr>Visegrádi</vt:lpstr>
      <vt:lpstr>'10'!Nyomtatási_terület</vt:lpstr>
      <vt:lpstr>'2'!Nyomtatási_terület</vt:lpstr>
      <vt:lpstr>'5'!Nyomtatási_terület</vt:lpstr>
      <vt:lpstr>'7'!Nyomtatási_terület</vt:lpstr>
      <vt:lpstr>'8'!Nyomtatási_terület</vt:lpstr>
      <vt:lpstr>'9'!Nyomtatási_terület</vt:lpstr>
    </vt:vector>
  </TitlesOfParts>
  <Company>XIII. Ker. EuSzolg.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</dc:creator>
  <cp:lastModifiedBy>Ottinger Vilmos</cp:lastModifiedBy>
  <cp:lastPrinted>2016-02-22T10:36:37Z</cp:lastPrinted>
  <dcterms:created xsi:type="dcterms:W3CDTF">2006-07-06T11:18:18Z</dcterms:created>
  <dcterms:modified xsi:type="dcterms:W3CDTF">2016-03-10T07:01:33Z</dcterms:modified>
</cp:coreProperties>
</file>