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ttinger.Vilmos\Documents\Dokumentumok1\2016\Beszámolók\"/>
    </mc:Choice>
  </mc:AlternateContent>
  <bookViews>
    <workbookView xWindow="0" yWindow="0" windowWidth="20490" windowHeight="7755"/>
  </bookViews>
  <sheets>
    <sheet name="1" sheetId="4441" r:id="rId1"/>
    <sheet name="1 (szegedi)" sheetId="4442" r:id="rId2"/>
    <sheet name="1 (visegrádi)" sheetId="4443" r:id="rId3"/>
    <sheet name="2" sheetId="4444" r:id="rId4"/>
    <sheet name="3" sheetId="4445" r:id="rId5"/>
    <sheet name="4" sheetId="4446" r:id="rId6"/>
    <sheet name="5" sheetId="1" r:id="rId7"/>
    <sheet name="6 (állományi)" sheetId="4460" state="hidden" r:id="rId8"/>
    <sheet name="6 (statisztikai)" sheetId="4461" r:id="rId9"/>
    <sheet name="7" sheetId="2" r:id="rId10"/>
    <sheet name="8" sheetId="3" r:id="rId11"/>
    <sheet name="9" sheetId="200" r:id="rId12"/>
    <sheet name="10" sheetId="4440" r:id="rId13"/>
    <sheet name="10 (egyenleg)" sheetId="124" state="hidden" r:id="rId14"/>
    <sheet name="beruházás" sheetId="4458" r:id="rId15"/>
    <sheet name="beruházás A" sheetId="4459" r:id="rId16"/>
    <sheet name="Eredmény" sheetId="4453" r:id="rId17"/>
    <sheet name="Eszközök (átsorolás után)" sheetId="4454" r:id="rId18"/>
    <sheet name="Források (átsorolás után)" sheetId="4455" r:id="rId19"/>
    <sheet name="Szegedi TH" sheetId="4463" r:id="rId20"/>
    <sheet name="Visegrádi TH" sheetId="4464" r:id="rId21"/>
    <sheet name="Munka1" sheetId="4462" state="hidden" r:id="rId22"/>
    <sheet name="vis" sheetId="4449" state="hidden" r:id="rId23"/>
    <sheet name="szeg" sheetId="4450" state="hidden" r:id="rId24"/>
    <sheet name="össz. járó" sheetId="4451" state="hidden" r:id="rId25"/>
    <sheet name="2016.év" sheetId="4452" state="hidden" r:id="rId26"/>
  </sheets>
  <definedNames>
    <definedName name="_xlnm.Print_Titles" localSheetId="25">'2016.év'!$1:$4</definedName>
    <definedName name="_xlnm.Print_Area" localSheetId="12">'10'!$A$1:$F$6</definedName>
    <definedName name="_xlnm.Print_Area" localSheetId="13">'10 (egyenleg)'!$A$1:$E$43</definedName>
    <definedName name="_xlnm.Print_Area" localSheetId="3">'2'!$A$1:$J$43</definedName>
    <definedName name="_xlnm.Print_Area" localSheetId="25">'2016.év'!$A$1:$V$109</definedName>
    <definedName name="_xlnm.Print_Area" localSheetId="6">'5'!$A$1:$N$27</definedName>
    <definedName name="_xlnm.Print_Area" localSheetId="9">'7'!$A$1:$N$42</definedName>
    <definedName name="_xlnm.Print_Area" localSheetId="10">'8'!$A$1:$F$8</definedName>
    <definedName name="_xlnm.Print_Area" localSheetId="11">'9'!$A$1:$F$24</definedName>
    <definedName name="_xlnm.Print_Area" localSheetId="24">'össz. járó'!$A$1:$AG$64</definedName>
    <definedName name="_xlnm.Print_Area" localSheetId="23">szeg!$A$1:$AC$31</definedName>
    <definedName name="_xlnm.Print_Area" localSheetId="22">vis!$A$1:$O$31</definedName>
  </definedNames>
  <calcPr calcId="152511"/>
</workbook>
</file>

<file path=xl/calcChain.xml><?xml version="1.0" encoding="utf-8"?>
<calcChain xmlns="http://schemas.openxmlformats.org/spreadsheetml/2006/main">
  <c r="F30" i="4464" l="1"/>
  <c r="G30" i="4464" s="1"/>
  <c r="E30" i="4464"/>
  <c r="G29" i="4464"/>
  <c r="G28" i="4464"/>
  <c r="G27" i="4464"/>
  <c r="G26" i="4464"/>
  <c r="G25" i="4464"/>
  <c r="G24" i="4464"/>
  <c r="G23" i="4464"/>
  <c r="G22" i="4464"/>
  <c r="G21" i="4464"/>
  <c r="G20" i="4464"/>
  <c r="G14" i="4464"/>
  <c r="G30" i="4463"/>
  <c r="F30" i="4463"/>
  <c r="E30" i="4463"/>
  <c r="G29" i="4463"/>
  <c r="G28" i="4463"/>
  <c r="G27" i="4463"/>
  <c r="G26" i="4463"/>
  <c r="G25" i="4463"/>
  <c r="G24" i="4463"/>
  <c r="G23" i="4463"/>
  <c r="G22" i="4463"/>
  <c r="G21" i="4463"/>
  <c r="G20" i="4463"/>
  <c r="G14" i="4463"/>
  <c r="H16" i="4446"/>
  <c r="U23" i="4461" l="1"/>
  <c r="T23" i="4461"/>
  <c r="I23" i="4461"/>
  <c r="H23" i="4461"/>
  <c r="G23" i="4461"/>
  <c r="F23" i="4461"/>
  <c r="E23" i="4461"/>
  <c r="D23" i="4461"/>
  <c r="C23" i="4461"/>
  <c r="B23" i="4461"/>
  <c r="Q22" i="4461"/>
  <c r="P22" i="4461"/>
  <c r="O22" i="4461"/>
  <c r="N22" i="4461"/>
  <c r="M22" i="4461"/>
  <c r="L22" i="4461"/>
  <c r="K22" i="4461"/>
  <c r="J22" i="4461"/>
  <c r="R22" i="4461" s="1"/>
  <c r="Q21" i="4461"/>
  <c r="P21" i="4461"/>
  <c r="O21" i="4461"/>
  <c r="N21" i="4461"/>
  <c r="M21" i="4461"/>
  <c r="S21" i="4461" s="1"/>
  <c r="L21" i="4461"/>
  <c r="J21" i="4461"/>
  <c r="Q20" i="4461"/>
  <c r="P20" i="4461"/>
  <c r="O20" i="4461"/>
  <c r="N20" i="4461"/>
  <c r="M20" i="4461"/>
  <c r="L20" i="4461"/>
  <c r="K20" i="4461"/>
  <c r="J20" i="4461"/>
  <c r="Q19" i="4461"/>
  <c r="P19" i="4461"/>
  <c r="O19" i="4461"/>
  <c r="N19" i="4461"/>
  <c r="M19" i="4461"/>
  <c r="L19" i="4461"/>
  <c r="K19" i="4461"/>
  <c r="J19" i="4461"/>
  <c r="Q18" i="4461"/>
  <c r="P18" i="4461"/>
  <c r="O18" i="4461"/>
  <c r="N18" i="4461"/>
  <c r="M18" i="4461"/>
  <c r="L18" i="4461"/>
  <c r="K18" i="4461"/>
  <c r="K23" i="4461" s="1"/>
  <c r="J18" i="4461"/>
  <c r="Q17" i="4461"/>
  <c r="P17" i="4461"/>
  <c r="O17" i="4461"/>
  <c r="N17" i="4461"/>
  <c r="M17" i="4461"/>
  <c r="S17" i="4461" s="1"/>
  <c r="L17" i="4461"/>
  <c r="J17" i="4461"/>
  <c r="Q16" i="4461"/>
  <c r="P16" i="4461"/>
  <c r="O16" i="4461"/>
  <c r="O23" i="4461" s="1"/>
  <c r="N16" i="4461"/>
  <c r="M16" i="4461"/>
  <c r="L16" i="4461"/>
  <c r="J16" i="4461"/>
  <c r="C15" i="4461"/>
  <c r="B15" i="4461"/>
  <c r="Q11" i="4461"/>
  <c r="P11" i="4461"/>
  <c r="O11" i="4461"/>
  <c r="N11" i="4461"/>
  <c r="M11" i="4461"/>
  <c r="L11" i="4461"/>
  <c r="K11" i="4461"/>
  <c r="J11" i="4461"/>
  <c r="I11" i="4461"/>
  <c r="H11" i="4461"/>
  <c r="G11" i="4461"/>
  <c r="F11" i="4461"/>
  <c r="E11" i="4461"/>
  <c r="D11" i="4461"/>
  <c r="C11" i="4461"/>
  <c r="B11" i="4461"/>
  <c r="E3" i="4461"/>
  <c r="E15" i="4461" s="1"/>
  <c r="D3" i="4461"/>
  <c r="D15" i="4461" s="1"/>
  <c r="U23" i="4460"/>
  <c r="T23" i="4460"/>
  <c r="I23" i="4460"/>
  <c r="H23" i="4460"/>
  <c r="G23" i="4460"/>
  <c r="F23" i="4460"/>
  <c r="E23" i="4460"/>
  <c r="D23" i="4460"/>
  <c r="C23" i="4460"/>
  <c r="B23" i="4460"/>
  <c r="Q22" i="4460"/>
  <c r="P22" i="4460"/>
  <c r="O22" i="4460"/>
  <c r="N22" i="4460"/>
  <c r="M22" i="4460"/>
  <c r="L22" i="4460"/>
  <c r="K22" i="4460"/>
  <c r="J22" i="4460"/>
  <c r="Q21" i="4460"/>
  <c r="P21" i="4460"/>
  <c r="O21" i="4460"/>
  <c r="N21" i="4460"/>
  <c r="M21" i="4460"/>
  <c r="L21" i="4460"/>
  <c r="K21" i="4460"/>
  <c r="J21" i="4460"/>
  <c r="Q20" i="4460"/>
  <c r="P20" i="4460"/>
  <c r="O20" i="4460"/>
  <c r="N20" i="4460"/>
  <c r="M20" i="4460"/>
  <c r="L20" i="4460"/>
  <c r="K20" i="4460"/>
  <c r="J20" i="4460"/>
  <c r="Q19" i="4460"/>
  <c r="P19" i="4460"/>
  <c r="O19" i="4460"/>
  <c r="N19" i="4460"/>
  <c r="M19" i="4460"/>
  <c r="L19" i="4460"/>
  <c r="K19" i="4460"/>
  <c r="J19" i="4460"/>
  <c r="Q18" i="4460"/>
  <c r="P18" i="4460"/>
  <c r="O18" i="4460"/>
  <c r="N18" i="4460"/>
  <c r="M18" i="4460"/>
  <c r="L18" i="4460"/>
  <c r="K18" i="4460"/>
  <c r="K23" i="4460" s="1"/>
  <c r="J18" i="4460"/>
  <c r="Q17" i="4460"/>
  <c r="Q23" i="4460" s="1"/>
  <c r="P17" i="4460"/>
  <c r="O17" i="4460"/>
  <c r="N17" i="4460"/>
  <c r="M17" i="4460"/>
  <c r="M23" i="4460" s="1"/>
  <c r="L17" i="4460"/>
  <c r="J17" i="4460"/>
  <c r="Q16" i="4460"/>
  <c r="P16" i="4460"/>
  <c r="O16" i="4460"/>
  <c r="N16" i="4460"/>
  <c r="N23" i="4460" s="1"/>
  <c r="M16" i="4460"/>
  <c r="L16" i="4460"/>
  <c r="J16" i="4460"/>
  <c r="J23" i="4460" s="1"/>
  <c r="C15" i="4460"/>
  <c r="B15" i="4460"/>
  <c r="Q11" i="4460"/>
  <c r="P11" i="4460"/>
  <c r="O11" i="4460"/>
  <c r="N11" i="4460"/>
  <c r="M11" i="4460"/>
  <c r="L11" i="4460"/>
  <c r="K11" i="4460"/>
  <c r="J11" i="4460"/>
  <c r="I11" i="4460"/>
  <c r="H11" i="4460"/>
  <c r="G11" i="4460"/>
  <c r="F11" i="4460"/>
  <c r="E11" i="4460"/>
  <c r="D11" i="4460"/>
  <c r="C11" i="4460"/>
  <c r="B11" i="4460"/>
  <c r="E3" i="4460"/>
  <c r="E15" i="4460" s="1"/>
  <c r="D3" i="4460"/>
  <c r="D15" i="4460" s="1"/>
  <c r="F30" i="4459"/>
  <c r="D30" i="4459"/>
  <c r="C30" i="4459"/>
  <c r="B30" i="4459"/>
  <c r="H25" i="4459"/>
  <c r="H24" i="4459"/>
  <c r="H30" i="4459" s="1"/>
  <c r="G13" i="4459"/>
  <c r="F13" i="4459"/>
  <c r="D13" i="4459"/>
  <c r="C13" i="4459"/>
  <c r="B13" i="4459"/>
  <c r="H13" i="4459" s="1"/>
  <c r="H12" i="4459"/>
  <c r="H11" i="4459"/>
  <c r="H10" i="4459"/>
  <c r="H8" i="4459"/>
  <c r="H7" i="4459"/>
  <c r="D178" i="4458"/>
  <c r="D169" i="4458"/>
  <c r="D153" i="4458"/>
  <c r="D138" i="4458"/>
  <c r="D117" i="4458"/>
  <c r="D106" i="4458"/>
  <c r="D95" i="4458"/>
  <c r="E93" i="4458"/>
  <c r="E89" i="4458"/>
  <c r="D80" i="4458"/>
  <c r="E76" i="4458"/>
  <c r="D57" i="4458"/>
  <c r="E55" i="4458"/>
  <c r="E48" i="4458"/>
  <c r="L23" i="4461" l="1"/>
  <c r="P23" i="4461"/>
  <c r="R17" i="4460"/>
  <c r="O23" i="4460"/>
  <c r="S19" i="4460"/>
  <c r="S20" i="4460"/>
  <c r="S21" i="4460"/>
  <c r="S22" i="4460"/>
  <c r="N23" i="4461"/>
  <c r="R17" i="4461"/>
  <c r="S19" i="4461"/>
  <c r="S20" i="4461"/>
  <c r="R21" i="4461"/>
  <c r="E157" i="4458"/>
  <c r="L23" i="4460"/>
  <c r="P23" i="4460"/>
  <c r="S16" i="4460"/>
  <c r="R18" i="4460"/>
  <c r="R19" i="4460"/>
  <c r="R20" i="4460"/>
  <c r="R21" i="4460"/>
  <c r="R22" i="4460"/>
  <c r="M23" i="4461"/>
  <c r="Q23" i="4461"/>
  <c r="R18" i="4461"/>
  <c r="R19" i="4461"/>
  <c r="R20" i="4461"/>
  <c r="S22" i="4461"/>
  <c r="G3" i="4460"/>
  <c r="R16" i="4460"/>
  <c r="S17" i="4460"/>
  <c r="S18" i="4460"/>
  <c r="G3" i="4461"/>
  <c r="R16" i="4461"/>
  <c r="S18" i="4461"/>
  <c r="J23" i="4461"/>
  <c r="F3" i="4460"/>
  <c r="F3" i="4461"/>
  <c r="S16" i="4461"/>
  <c r="I15" i="4445"/>
  <c r="C15" i="4445"/>
  <c r="E15" i="4445"/>
  <c r="K15" i="4445"/>
  <c r="G15" i="4445"/>
  <c r="S23" i="4461" l="1"/>
  <c r="S23" i="4460"/>
  <c r="R23" i="4461"/>
  <c r="R23" i="4460"/>
  <c r="F15" i="4461"/>
  <c r="H15" i="4461" s="1"/>
  <c r="H3" i="4461"/>
  <c r="J3" i="4461" s="1"/>
  <c r="L3" i="4461" s="1"/>
  <c r="F15" i="4460"/>
  <c r="H15" i="4460" s="1"/>
  <c r="H3" i="4460"/>
  <c r="J3" i="4460" s="1"/>
  <c r="L3" i="4460" s="1"/>
  <c r="G15" i="4461"/>
  <c r="I15" i="4461" s="1"/>
  <c r="I3" i="4461"/>
  <c r="K3" i="4461" s="1"/>
  <c r="M3" i="4461" s="1"/>
  <c r="G15" i="4460"/>
  <c r="I15" i="4460" s="1"/>
  <c r="I3" i="4460"/>
  <c r="K3" i="4460" s="1"/>
  <c r="M3" i="4460" s="1"/>
  <c r="E50" i="4455"/>
  <c r="D50" i="4455"/>
  <c r="E41" i="4455"/>
  <c r="E36" i="4455" s="1"/>
  <c r="E20" i="4455" s="1"/>
  <c r="D36" i="4455"/>
  <c r="D20" i="4455" s="1"/>
  <c r="A6" i="4455"/>
  <c r="A7" i="4455" s="1"/>
  <c r="A8" i="4455" s="1"/>
  <c r="A9" i="4455" s="1"/>
  <c r="A10" i="4455" s="1"/>
  <c r="A11" i="4455" s="1"/>
  <c r="A12" i="4455" s="1"/>
  <c r="A13" i="4455" s="1"/>
  <c r="A14" i="4455" s="1"/>
  <c r="A15" i="4455" s="1"/>
  <c r="A16" i="4455" s="1"/>
  <c r="A17" i="4455" s="1"/>
  <c r="A18" i="4455" s="1"/>
  <c r="A19" i="4455" s="1"/>
  <c r="A20" i="4455" s="1"/>
  <c r="A21" i="4455" s="1"/>
  <c r="A22" i="4455" s="1"/>
  <c r="A23" i="4455" s="1"/>
  <c r="A24" i="4455" s="1"/>
  <c r="A25" i="4455" s="1"/>
  <c r="A26" i="4455" s="1"/>
  <c r="A27" i="4455" s="1"/>
  <c r="A28" i="4455" s="1"/>
  <c r="A29" i="4455" s="1"/>
  <c r="A30" i="4455" s="1"/>
  <c r="A31" i="4455" s="1"/>
  <c r="A32" i="4455" s="1"/>
  <c r="A33" i="4455" s="1"/>
  <c r="A34" i="4455" s="1"/>
  <c r="A35" i="4455" s="1"/>
  <c r="A36" i="4455" s="1"/>
  <c r="A37" i="4455" s="1"/>
  <c r="A38" i="4455" s="1"/>
  <c r="A39" i="4455" s="1"/>
  <c r="A40" i="4455" s="1"/>
  <c r="A41" i="4455" s="1"/>
  <c r="A43" i="4455" s="1"/>
  <c r="A44" i="4455" s="1"/>
  <c r="A45" i="4455" s="1"/>
  <c r="A46" i="4455" s="1"/>
  <c r="A47" i="4455" s="1"/>
  <c r="A48" i="4455" s="1"/>
  <c r="A49" i="4455" s="1"/>
  <c r="A50" i="4455" s="1"/>
  <c r="A51" i="4455" s="1"/>
  <c r="A52" i="4455" s="1"/>
  <c r="A53" i="4455" s="1"/>
  <c r="A54" i="4455" s="1"/>
  <c r="E5" i="4455"/>
  <c r="D5" i="4455"/>
  <c r="E60" i="4454"/>
  <c r="D60" i="4454"/>
  <c r="E57" i="4454"/>
  <c r="D57" i="4454"/>
  <c r="E47" i="4454"/>
  <c r="E41" i="4454" s="1"/>
  <c r="E33" i="4454" s="1"/>
  <c r="D41" i="4454"/>
  <c r="E34" i="4454"/>
  <c r="D34" i="4454"/>
  <c r="D33" i="4454"/>
  <c r="E22" i="4454"/>
  <c r="D22" i="4454"/>
  <c r="E14" i="4454"/>
  <c r="D14" i="4454"/>
  <c r="A7" i="4454"/>
  <c r="A8" i="4454" s="1"/>
  <c r="A9" i="4454" s="1"/>
  <c r="A10" i="4454" s="1"/>
  <c r="A11" i="4454" s="1"/>
  <c r="A12" i="4454" s="1"/>
  <c r="A13" i="4454" s="1"/>
  <c r="A14" i="4454" s="1"/>
  <c r="A15" i="4454" s="1"/>
  <c r="A16" i="4454" s="1"/>
  <c r="A17" i="4454" s="1"/>
  <c r="A18" i="4454" s="1"/>
  <c r="A19" i="4454" s="1"/>
  <c r="A20" i="4454" s="1"/>
  <c r="A21" i="4454" s="1"/>
  <c r="A22" i="4454" s="1"/>
  <c r="A23" i="4454" s="1"/>
  <c r="A24" i="4454" s="1"/>
  <c r="A25" i="4454" s="1"/>
  <c r="A26" i="4454" s="1"/>
  <c r="A27" i="4454" s="1"/>
  <c r="A28" i="4454" s="1"/>
  <c r="A29" i="4454" s="1"/>
  <c r="A30" i="4454" s="1"/>
  <c r="A31" i="4454" s="1"/>
  <c r="A32" i="4454" s="1"/>
  <c r="A33" i="4454" s="1"/>
  <c r="A34" i="4454" s="1"/>
  <c r="A35" i="4454" s="1"/>
  <c r="A36" i="4454" s="1"/>
  <c r="A37" i="4454" s="1"/>
  <c r="A38" i="4454" s="1"/>
  <c r="A39" i="4454" s="1"/>
  <c r="A40" i="4454" s="1"/>
  <c r="A41" i="4454" s="1"/>
  <c r="A42" i="4454" s="1"/>
  <c r="A43" i="4454" s="1"/>
  <c r="A44" i="4454" s="1"/>
  <c r="A45" i="4454" s="1"/>
  <c r="A46" i="4454" s="1"/>
  <c r="A47" i="4454" s="1"/>
  <c r="A48" i="4454" s="1"/>
  <c r="A49" i="4454" s="1"/>
  <c r="A50" i="4454" s="1"/>
  <c r="A51" i="4454" s="1"/>
  <c r="A52" i="4454" s="1"/>
  <c r="A53" i="4454" s="1"/>
  <c r="A54" i="4454" s="1"/>
  <c r="A55" i="4454" s="1"/>
  <c r="A56" i="4454" s="1"/>
  <c r="A57" i="4454" s="1"/>
  <c r="A58" i="4454" s="1"/>
  <c r="A59" i="4454" s="1"/>
  <c r="A60" i="4454" s="1"/>
  <c r="A61" i="4454" s="1"/>
  <c r="A62" i="4454" s="1"/>
  <c r="A63" i="4454" s="1"/>
  <c r="A64" i="4454" s="1"/>
  <c r="E6" i="4454"/>
  <c r="D6" i="4454"/>
  <c r="D5" i="4454" s="1"/>
  <c r="D64" i="4454" s="1"/>
  <c r="E5" i="4454"/>
  <c r="D51" i="4453"/>
  <c r="C51" i="4453"/>
  <c r="D41" i="4453"/>
  <c r="D52" i="4453" s="1"/>
  <c r="C41" i="4453"/>
  <c r="D26" i="4453"/>
  <c r="C26" i="4453"/>
  <c r="D22" i="4453"/>
  <c r="C22" i="4453"/>
  <c r="C15" i="4453"/>
  <c r="D13" i="4453"/>
  <c r="C13" i="4453"/>
  <c r="D9" i="4453"/>
  <c r="C9" i="4453"/>
  <c r="U108" i="4452"/>
  <c r="V108" i="4452" s="1"/>
  <c r="P108" i="4452"/>
  <c r="M108" i="4452"/>
  <c r="T104" i="4452"/>
  <c r="S104" i="4452"/>
  <c r="R104" i="4452"/>
  <c r="Q104" i="4452"/>
  <c r="P104" i="4452"/>
  <c r="O104" i="4452"/>
  <c r="N104" i="4452"/>
  <c r="L104" i="4452"/>
  <c r="K104" i="4452"/>
  <c r="J104" i="4452"/>
  <c r="I104" i="4452"/>
  <c r="H104" i="4452"/>
  <c r="G104" i="4452"/>
  <c r="F104" i="4452"/>
  <c r="E104" i="4452"/>
  <c r="C104" i="4452"/>
  <c r="B104" i="4452"/>
  <c r="T103" i="4452"/>
  <c r="S103" i="4452"/>
  <c r="R103" i="4452"/>
  <c r="Q103" i="4452"/>
  <c r="P103" i="4452"/>
  <c r="O103" i="4452"/>
  <c r="N103" i="4452"/>
  <c r="L103" i="4452"/>
  <c r="K103" i="4452"/>
  <c r="J103" i="4452"/>
  <c r="I103" i="4452"/>
  <c r="H103" i="4452"/>
  <c r="G103" i="4452"/>
  <c r="F103" i="4452"/>
  <c r="E103" i="4452"/>
  <c r="C103" i="4452"/>
  <c r="B103" i="4452"/>
  <c r="T102" i="4452"/>
  <c r="T105" i="4452" s="1"/>
  <c r="S102" i="4452"/>
  <c r="S105" i="4452" s="1"/>
  <c r="R102" i="4452"/>
  <c r="R105" i="4452" s="1"/>
  <c r="O102" i="4452"/>
  <c r="O105" i="4452" s="1"/>
  <c r="N102" i="4452"/>
  <c r="K102" i="4452"/>
  <c r="J102" i="4452"/>
  <c r="I102" i="4452"/>
  <c r="I105" i="4452" s="1"/>
  <c r="H102" i="4452"/>
  <c r="H105" i="4452" s="1"/>
  <c r="G102" i="4452"/>
  <c r="F102" i="4452"/>
  <c r="E102" i="4452"/>
  <c r="E105" i="4452" s="1"/>
  <c r="D102" i="4452"/>
  <c r="C102" i="4452"/>
  <c r="B102" i="4452"/>
  <c r="T99" i="4452"/>
  <c r="S99" i="4452"/>
  <c r="R99" i="4452"/>
  <c r="Q99" i="4452"/>
  <c r="O99" i="4452"/>
  <c r="N99" i="4452"/>
  <c r="U99" i="4452" s="1"/>
  <c r="L99" i="4452"/>
  <c r="K99" i="4452"/>
  <c r="J99" i="4452"/>
  <c r="I99" i="4452"/>
  <c r="H99" i="4452"/>
  <c r="G99" i="4452"/>
  <c r="F99" i="4452"/>
  <c r="E99" i="4452"/>
  <c r="C99" i="4452"/>
  <c r="B99" i="4452"/>
  <c r="M98" i="4452"/>
  <c r="D97" i="4452"/>
  <c r="D99" i="4452" s="1"/>
  <c r="U96" i="4452"/>
  <c r="P96" i="4452"/>
  <c r="P99" i="4452" s="1"/>
  <c r="M96" i="4452"/>
  <c r="T93" i="4452"/>
  <c r="S93" i="4452"/>
  <c r="R93" i="4452"/>
  <c r="Q93" i="4452"/>
  <c r="O93" i="4452"/>
  <c r="N93" i="4452"/>
  <c r="L93" i="4452"/>
  <c r="I93" i="4452"/>
  <c r="H93" i="4452"/>
  <c r="G93" i="4452"/>
  <c r="F93" i="4452"/>
  <c r="E93" i="4452"/>
  <c r="D93" i="4452"/>
  <c r="C93" i="4452"/>
  <c r="B93" i="4452"/>
  <c r="M92" i="4452"/>
  <c r="M91" i="4452"/>
  <c r="U90" i="4452"/>
  <c r="P90" i="4452"/>
  <c r="P93" i="4452" s="1"/>
  <c r="M90" i="4452"/>
  <c r="T87" i="4452"/>
  <c r="S87" i="4452"/>
  <c r="R87" i="4452"/>
  <c r="Q87" i="4452"/>
  <c r="O87" i="4452"/>
  <c r="N87" i="4452"/>
  <c r="L87" i="4452"/>
  <c r="I87" i="4452"/>
  <c r="H87" i="4452"/>
  <c r="G87" i="4452"/>
  <c r="F87" i="4452"/>
  <c r="E87" i="4452"/>
  <c r="D87" i="4452"/>
  <c r="C87" i="4452"/>
  <c r="B87" i="4452"/>
  <c r="M86" i="4452"/>
  <c r="M85" i="4452"/>
  <c r="U84" i="4452"/>
  <c r="P84" i="4452"/>
  <c r="P87" i="4452" s="1"/>
  <c r="M84" i="4452"/>
  <c r="T81" i="4452"/>
  <c r="S81" i="4452"/>
  <c r="R81" i="4452"/>
  <c r="Q81" i="4452"/>
  <c r="O81" i="4452"/>
  <c r="N81" i="4452"/>
  <c r="L81" i="4452"/>
  <c r="I81" i="4452"/>
  <c r="H81" i="4452"/>
  <c r="G81" i="4452"/>
  <c r="F81" i="4452"/>
  <c r="E81" i="4452"/>
  <c r="D81" i="4452"/>
  <c r="C81" i="4452"/>
  <c r="B81" i="4452"/>
  <c r="M80" i="4452"/>
  <c r="M79" i="4452"/>
  <c r="U78" i="4452"/>
  <c r="P78" i="4452"/>
  <c r="P81" i="4452" s="1"/>
  <c r="M78" i="4452"/>
  <c r="T75" i="4452"/>
  <c r="S75" i="4452"/>
  <c r="R75" i="4452"/>
  <c r="O75" i="4452"/>
  <c r="N75" i="4452"/>
  <c r="L75" i="4452"/>
  <c r="I75" i="4452"/>
  <c r="H75" i="4452"/>
  <c r="G75" i="4452"/>
  <c r="F75" i="4452"/>
  <c r="E75" i="4452"/>
  <c r="D75" i="4452"/>
  <c r="C75" i="4452"/>
  <c r="B75" i="4452"/>
  <c r="M74" i="4452"/>
  <c r="M73" i="4452"/>
  <c r="U72" i="4452"/>
  <c r="Q72" i="4452"/>
  <c r="P72" i="4452"/>
  <c r="P75" i="4452" s="1"/>
  <c r="M72" i="4452"/>
  <c r="T69" i="4452"/>
  <c r="S69" i="4452"/>
  <c r="R69" i="4452"/>
  <c r="O69" i="4452"/>
  <c r="N69" i="4452"/>
  <c r="I69" i="4452"/>
  <c r="H69" i="4452"/>
  <c r="G69" i="4452"/>
  <c r="F69" i="4452"/>
  <c r="E69" i="4452"/>
  <c r="C69" i="4452"/>
  <c r="B69" i="4452"/>
  <c r="D68" i="4452"/>
  <c r="D104" i="4452" s="1"/>
  <c r="D67" i="4452"/>
  <c r="D69" i="4452" s="1"/>
  <c r="Q66" i="4452"/>
  <c r="Q69" i="4452" s="1"/>
  <c r="P66" i="4452"/>
  <c r="P69" i="4452" s="1"/>
  <c r="M66" i="4452"/>
  <c r="L66" i="4452"/>
  <c r="L69" i="4452" s="1"/>
  <c r="T63" i="4452"/>
  <c r="S63" i="4452"/>
  <c r="R63" i="4452"/>
  <c r="O63" i="4452"/>
  <c r="N63" i="4452"/>
  <c r="L63" i="4452"/>
  <c r="I63" i="4452"/>
  <c r="H63" i="4452"/>
  <c r="G63" i="4452"/>
  <c r="F63" i="4452"/>
  <c r="E63" i="4452"/>
  <c r="C63" i="4452"/>
  <c r="B63" i="4452"/>
  <c r="D62" i="4452"/>
  <c r="M62" i="4452" s="1"/>
  <c r="D61" i="4452"/>
  <c r="D63" i="4452" s="1"/>
  <c r="Q60" i="4452"/>
  <c r="Q63" i="4452" s="1"/>
  <c r="P60" i="4452"/>
  <c r="P63" i="4452" s="1"/>
  <c r="M60" i="4452"/>
  <c r="L56" i="4452"/>
  <c r="I56" i="4452"/>
  <c r="H56" i="4452"/>
  <c r="G56" i="4452"/>
  <c r="F56" i="4452"/>
  <c r="E56" i="4452"/>
  <c r="C56" i="4452"/>
  <c r="B56" i="4452"/>
  <c r="L55" i="4452"/>
  <c r="K55" i="4452"/>
  <c r="J55" i="4452"/>
  <c r="I55" i="4452"/>
  <c r="H55" i="4452"/>
  <c r="G55" i="4452"/>
  <c r="F55" i="4452"/>
  <c r="E55" i="4452"/>
  <c r="C55" i="4452"/>
  <c r="B55" i="4452"/>
  <c r="T54" i="4452"/>
  <c r="S54" i="4452"/>
  <c r="R54" i="4452"/>
  <c r="O54" i="4452"/>
  <c r="N54" i="4452"/>
  <c r="L54" i="4452"/>
  <c r="K54" i="4452"/>
  <c r="J54" i="4452"/>
  <c r="I54" i="4452"/>
  <c r="H54" i="4452"/>
  <c r="G54" i="4452"/>
  <c r="F54" i="4452"/>
  <c r="E54" i="4452"/>
  <c r="D54" i="4452"/>
  <c r="C54" i="4452"/>
  <c r="B54" i="4452"/>
  <c r="T51" i="4452"/>
  <c r="S51" i="4452"/>
  <c r="R51" i="4452"/>
  <c r="O51" i="4452"/>
  <c r="N51" i="4452"/>
  <c r="L51" i="4452"/>
  <c r="I51" i="4452"/>
  <c r="H51" i="4452"/>
  <c r="G51" i="4452"/>
  <c r="F51" i="4452"/>
  <c r="E51" i="4452"/>
  <c r="D51" i="4452"/>
  <c r="C51" i="4452"/>
  <c r="B51" i="4452"/>
  <c r="M50" i="4452"/>
  <c r="M49" i="4452"/>
  <c r="U48" i="4452"/>
  <c r="Q48" i="4452"/>
  <c r="P48" i="4452"/>
  <c r="P51" i="4452" s="1"/>
  <c r="M48" i="4452"/>
  <c r="T45" i="4452"/>
  <c r="S45" i="4452"/>
  <c r="R45" i="4452"/>
  <c r="O45" i="4452"/>
  <c r="N45" i="4452"/>
  <c r="L45" i="4452"/>
  <c r="I45" i="4452"/>
  <c r="H45" i="4452"/>
  <c r="G45" i="4452"/>
  <c r="F45" i="4452"/>
  <c r="E45" i="4452"/>
  <c r="C45" i="4452"/>
  <c r="B45" i="4452"/>
  <c r="D44" i="4452"/>
  <c r="M44" i="4452" s="1"/>
  <c r="D43" i="4452"/>
  <c r="M43" i="4452" s="1"/>
  <c r="Q42" i="4452"/>
  <c r="Q45" i="4452" s="1"/>
  <c r="P42" i="4452"/>
  <c r="P45" i="4452" s="1"/>
  <c r="M42" i="4452"/>
  <c r="T39" i="4452"/>
  <c r="S39" i="4452"/>
  <c r="R39" i="4452"/>
  <c r="O39" i="4452"/>
  <c r="N39" i="4452"/>
  <c r="L39" i="4452"/>
  <c r="I39" i="4452"/>
  <c r="H39" i="4452"/>
  <c r="G39" i="4452"/>
  <c r="F39" i="4452"/>
  <c r="E39" i="4452"/>
  <c r="C39" i="4452"/>
  <c r="B39" i="4452"/>
  <c r="D38" i="4452"/>
  <c r="M38" i="4452" s="1"/>
  <c r="D37" i="4452"/>
  <c r="D39" i="4452" s="1"/>
  <c r="U36" i="4452"/>
  <c r="Q36" i="4452"/>
  <c r="Q39" i="4452" s="1"/>
  <c r="P36" i="4452"/>
  <c r="P39" i="4452" s="1"/>
  <c r="M36" i="4452"/>
  <c r="T33" i="4452"/>
  <c r="S33" i="4452"/>
  <c r="R33" i="4452"/>
  <c r="O33" i="4452"/>
  <c r="N33" i="4452"/>
  <c r="L33" i="4452"/>
  <c r="I33" i="4452"/>
  <c r="H33" i="4452"/>
  <c r="G33" i="4452"/>
  <c r="F33" i="4452"/>
  <c r="E33" i="4452"/>
  <c r="C33" i="4452"/>
  <c r="B33" i="4452"/>
  <c r="D32" i="4452"/>
  <c r="M32" i="4452" s="1"/>
  <c r="D31" i="4452"/>
  <c r="D33" i="4452" s="1"/>
  <c r="Q30" i="4452"/>
  <c r="Q33" i="4452" s="1"/>
  <c r="P30" i="4452"/>
  <c r="P33" i="4452" s="1"/>
  <c r="M30" i="4452"/>
  <c r="T27" i="4452"/>
  <c r="S27" i="4452"/>
  <c r="R27" i="4452"/>
  <c r="O27" i="4452"/>
  <c r="N27" i="4452"/>
  <c r="L27" i="4452"/>
  <c r="I27" i="4452"/>
  <c r="H27" i="4452"/>
  <c r="G27" i="4452"/>
  <c r="F27" i="4452"/>
  <c r="E27" i="4452"/>
  <c r="C27" i="4452"/>
  <c r="B27" i="4452"/>
  <c r="D26" i="4452"/>
  <c r="M26" i="4452" s="1"/>
  <c r="D25" i="4452"/>
  <c r="D27" i="4452" s="1"/>
  <c r="U24" i="4452"/>
  <c r="Q24" i="4452"/>
  <c r="Q27" i="4452" s="1"/>
  <c r="P24" i="4452"/>
  <c r="P27" i="4452" s="1"/>
  <c r="M24" i="4452"/>
  <c r="T21" i="4452"/>
  <c r="S21" i="4452"/>
  <c r="R21" i="4452"/>
  <c r="O21" i="4452"/>
  <c r="N21" i="4452"/>
  <c r="L21" i="4452"/>
  <c r="I21" i="4452"/>
  <c r="H21" i="4452"/>
  <c r="G21" i="4452"/>
  <c r="F21" i="4452"/>
  <c r="E21" i="4452"/>
  <c r="C21" i="4452"/>
  <c r="B21" i="4452"/>
  <c r="D20" i="4452"/>
  <c r="M20" i="4452" s="1"/>
  <c r="M19" i="4452"/>
  <c r="D19" i="4452"/>
  <c r="D21" i="4452" s="1"/>
  <c r="U18" i="4452"/>
  <c r="Q18" i="4452"/>
  <c r="Q21" i="4452" s="1"/>
  <c r="P18" i="4452"/>
  <c r="P21" i="4452" s="1"/>
  <c r="M18" i="4452"/>
  <c r="T15" i="4452"/>
  <c r="S15" i="4452"/>
  <c r="R15" i="4452"/>
  <c r="O15" i="4452"/>
  <c r="N15" i="4452"/>
  <c r="L15" i="4452"/>
  <c r="I15" i="4452"/>
  <c r="H15" i="4452"/>
  <c r="G15" i="4452"/>
  <c r="F15" i="4452"/>
  <c r="E15" i="4452"/>
  <c r="D15" i="4452"/>
  <c r="C15" i="4452"/>
  <c r="B15" i="4452"/>
  <c r="M14" i="4452"/>
  <c r="M13" i="4452"/>
  <c r="Q12" i="4452"/>
  <c r="Q15" i="4452" s="1"/>
  <c r="P12" i="4452"/>
  <c r="P15" i="4452" s="1"/>
  <c r="M12" i="4452"/>
  <c r="T9" i="4452"/>
  <c r="S9" i="4452"/>
  <c r="S57" i="4452" s="1"/>
  <c r="S107" i="4452" s="1"/>
  <c r="S109" i="4452" s="1"/>
  <c r="R9" i="4452"/>
  <c r="O9" i="4452"/>
  <c r="N9" i="4452"/>
  <c r="L9" i="4452"/>
  <c r="L57" i="4452" s="1"/>
  <c r="L107" i="4452" s="1"/>
  <c r="L109" i="4452" s="1"/>
  <c r="K9" i="4452"/>
  <c r="K57" i="4452" s="1"/>
  <c r="J9" i="4452"/>
  <c r="J57" i="4452" s="1"/>
  <c r="J107" i="4452" s="1"/>
  <c r="I9" i="4452"/>
  <c r="H9" i="4452"/>
  <c r="H57" i="4452" s="1"/>
  <c r="H107" i="4452" s="1"/>
  <c r="H109" i="4452" s="1"/>
  <c r="G9" i="4452"/>
  <c r="F9" i="4452"/>
  <c r="F57" i="4452" s="1"/>
  <c r="E9" i="4452"/>
  <c r="C9" i="4452"/>
  <c r="C57" i="4452" s="1"/>
  <c r="B9" i="4452"/>
  <c r="M8" i="4452"/>
  <c r="D8" i="4452"/>
  <c r="M7" i="4452"/>
  <c r="D7" i="4452"/>
  <c r="U6" i="4452"/>
  <c r="Q6" i="4452"/>
  <c r="Q9" i="4452" s="1"/>
  <c r="P6" i="4452"/>
  <c r="P9" i="4452" s="1"/>
  <c r="M6" i="4452"/>
  <c r="Y60" i="4451"/>
  <c r="U60" i="4451"/>
  <c r="R60" i="4451"/>
  <c r="AF59" i="4451"/>
  <c r="AE59" i="4451"/>
  <c r="AD59" i="4451"/>
  <c r="AC59" i="4451"/>
  <c r="AB59" i="4451"/>
  <c r="AA59" i="4451"/>
  <c r="Z59" i="4451"/>
  <c r="X59" i="4451"/>
  <c r="W59" i="4451"/>
  <c r="T59" i="4451"/>
  <c r="S59" i="4451"/>
  <c r="Q59" i="4451"/>
  <c r="P59" i="4451"/>
  <c r="N59" i="4451"/>
  <c r="K59" i="4451"/>
  <c r="I59" i="4451"/>
  <c r="H59" i="4451"/>
  <c r="AF58" i="4451"/>
  <c r="AE58" i="4451"/>
  <c r="AD58" i="4451"/>
  <c r="AC58" i="4451"/>
  <c r="AB58" i="4451"/>
  <c r="AA58" i="4451"/>
  <c r="Z58" i="4451"/>
  <c r="X58" i="4451"/>
  <c r="W58" i="4451"/>
  <c r="V58" i="4451"/>
  <c r="T58" i="4451"/>
  <c r="S58" i="4451"/>
  <c r="Q58" i="4451"/>
  <c r="P58" i="4451"/>
  <c r="O58" i="4451"/>
  <c r="N58" i="4451"/>
  <c r="M58" i="4451"/>
  <c r="L58" i="4451"/>
  <c r="K58" i="4451"/>
  <c r="J58" i="4451"/>
  <c r="I58" i="4451"/>
  <c r="H58" i="4451"/>
  <c r="G58" i="4451"/>
  <c r="F58" i="4451"/>
  <c r="E58" i="4451"/>
  <c r="D58" i="4451"/>
  <c r="Y57" i="4451"/>
  <c r="V57" i="4451"/>
  <c r="U57" i="4451"/>
  <c r="R57" i="4451"/>
  <c r="O57" i="4451"/>
  <c r="M57" i="4451"/>
  <c r="L57" i="4451"/>
  <c r="J57" i="4451"/>
  <c r="G57" i="4451"/>
  <c r="F57" i="4451"/>
  <c r="E57" i="4451"/>
  <c r="D57" i="4451"/>
  <c r="AF56" i="4451"/>
  <c r="AE56" i="4451"/>
  <c r="AD56" i="4451"/>
  <c r="AC56" i="4451"/>
  <c r="AB56" i="4451"/>
  <c r="AA56" i="4451"/>
  <c r="Z56" i="4451"/>
  <c r="X56" i="4451"/>
  <c r="W56" i="4451"/>
  <c r="V56" i="4451"/>
  <c r="T56" i="4451"/>
  <c r="S56" i="4451"/>
  <c r="Q56" i="4451"/>
  <c r="P56" i="4451"/>
  <c r="O56" i="4451"/>
  <c r="N56" i="4451"/>
  <c r="M56" i="4451"/>
  <c r="L56" i="4451"/>
  <c r="K56" i="4451"/>
  <c r="J56" i="4451"/>
  <c r="I56" i="4451"/>
  <c r="H56" i="4451"/>
  <c r="G56" i="4451"/>
  <c r="F56" i="4451"/>
  <c r="E56" i="4451"/>
  <c r="D56" i="4451"/>
  <c r="Y55" i="4451"/>
  <c r="V55" i="4451"/>
  <c r="U55" i="4451"/>
  <c r="R55" i="4451"/>
  <c r="O55" i="4451"/>
  <c r="M55" i="4451"/>
  <c r="L55" i="4451"/>
  <c r="J55" i="4451"/>
  <c r="G55" i="4451"/>
  <c r="F55" i="4451"/>
  <c r="E55" i="4451"/>
  <c r="D55" i="4451"/>
  <c r="AF54" i="4451"/>
  <c r="AE54" i="4451"/>
  <c r="AD54" i="4451"/>
  <c r="AC54" i="4451"/>
  <c r="AB54" i="4451"/>
  <c r="AA54" i="4451"/>
  <c r="Z54" i="4451"/>
  <c r="X54" i="4451"/>
  <c r="W54" i="4451"/>
  <c r="V54" i="4451"/>
  <c r="T54" i="4451"/>
  <c r="S54" i="4451"/>
  <c r="Q54" i="4451"/>
  <c r="P54" i="4451"/>
  <c r="O54" i="4451"/>
  <c r="N54" i="4451"/>
  <c r="M54" i="4451"/>
  <c r="L54" i="4451"/>
  <c r="K54" i="4451"/>
  <c r="J54" i="4451"/>
  <c r="I54" i="4451"/>
  <c r="H54" i="4451"/>
  <c r="G54" i="4451"/>
  <c r="F54" i="4451"/>
  <c r="E54" i="4451"/>
  <c r="D54" i="4451"/>
  <c r="Y53" i="4451"/>
  <c r="V53" i="4451"/>
  <c r="U53" i="4451"/>
  <c r="R53" i="4451"/>
  <c r="O53" i="4451"/>
  <c r="M53" i="4451"/>
  <c r="L53" i="4451"/>
  <c r="J53" i="4451"/>
  <c r="G53" i="4451"/>
  <c r="F53" i="4451"/>
  <c r="E53" i="4451"/>
  <c r="D53" i="4451"/>
  <c r="AF52" i="4451"/>
  <c r="AE52" i="4451"/>
  <c r="AD52" i="4451"/>
  <c r="AC52" i="4451"/>
  <c r="AB52" i="4451"/>
  <c r="AA52" i="4451"/>
  <c r="Z52" i="4451"/>
  <c r="X52" i="4451"/>
  <c r="W52" i="4451"/>
  <c r="V52" i="4451"/>
  <c r="T52" i="4451"/>
  <c r="S52" i="4451"/>
  <c r="Q52" i="4451"/>
  <c r="P52" i="4451"/>
  <c r="O52" i="4451"/>
  <c r="N52" i="4451"/>
  <c r="M52" i="4451"/>
  <c r="L52" i="4451"/>
  <c r="K52" i="4451"/>
  <c r="J52" i="4451"/>
  <c r="I52" i="4451"/>
  <c r="H52" i="4451"/>
  <c r="G52" i="4451"/>
  <c r="F52" i="4451"/>
  <c r="E52" i="4451"/>
  <c r="D52" i="4451"/>
  <c r="R51" i="4451"/>
  <c r="AF48" i="4451"/>
  <c r="AE48" i="4451"/>
  <c r="AD48" i="4451"/>
  <c r="AC48" i="4451"/>
  <c r="AB48" i="4451"/>
  <c r="AA48" i="4451"/>
  <c r="Z48" i="4451"/>
  <c r="X48" i="4451"/>
  <c r="W48" i="4451"/>
  <c r="V48" i="4451"/>
  <c r="T48" i="4451"/>
  <c r="S48" i="4451"/>
  <c r="Q48" i="4451"/>
  <c r="P48" i="4451"/>
  <c r="O48" i="4451"/>
  <c r="N48" i="4451"/>
  <c r="M48" i="4451"/>
  <c r="L48" i="4451"/>
  <c r="K48" i="4451"/>
  <c r="J48" i="4451"/>
  <c r="I48" i="4451"/>
  <c r="H48" i="4451"/>
  <c r="G48" i="4451"/>
  <c r="F48" i="4451"/>
  <c r="E48" i="4451"/>
  <c r="D48" i="4451"/>
  <c r="Y47" i="4451"/>
  <c r="V47" i="4451"/>
  <c r="U47" i="4451"/>
  <c r="R47" i="4451"/>
  <c r="O47" i="4451"/>
  <c r="M47" i="4451"/>
  <c r="L47" i="4451"/>
  <c r="J47" i="4451"/>
  <c r="G47" i="4451"/>
  <c r="F47" i="4451"/>
  <c r="E47" i="4451"/>
  <c r="D47" i="4451"/>
  <c r="AF46" i="4451"/>
  <c r="AE46" i="4451"/>
  <c r="AD46" i="4451"/>
  <c r="AC46" i="4451"/>
  <c r="AB46" i="4451"/>
  <c r="AA46" i="4451"/>
  <c r="Z46" i="4451"/>
  <c r="X46" i="4451"/>
  <c r="W46" i="4451"/>
  <c r="V46" i="4451"/>
  <c r="T46" i="4451"/>
  <c r="S46" i="4451"/>
  <c r="Q46" i="4451"/>
  <c r="P46" i="4451"/>
  <c r="O46" i="4451"/>
  <c r="N46" i="4451"/>
  <c r="M46" i="4451"/>
  <c r="L46" i="4451"/>
  <c r="K46" i="4451"/>
  <c r="J46" i="4451"/>
  <c r="I46" i="4451"/>
  <c r="H46" i="4451"/>
  <c r="G46" i="4451"/>
  <c r="F46" i="4451"/>
  <c r="E46" i="4451"/>
  <c r="D46" i="4451"/>
  <c r="Y45" i="4451"/>
  <c r="V45" i="4451"/>
  <c r="U45" i="4451"/>
  <c r="R45" i="4451"/>
  <c r="O45" i="4451"/>
  <c r="M45" i="4451"/>
  <c r="L45" i="4451"/>
  <c r="J45" i="4451"/>
  <c r="G45" i="4451"/>
  <c r="F45" i="4451"/>
  <c r="E45" i="4451"/>
  <c r="D45" i="4451"/>
  <c r="Y41" i="4451"/>
  <c r="U41" i="4451"/>
  <c r="R41" i="4451"/>
  <c r="AF40" i="4451"/>
  <c r="AE40" i="4451"/>
  <c r="AD40" i="4451"/>
  <c r="AC40" i="4451"/>
  <c r="AB40" i="4451"/>
  <c r="AA40" i="4451"/>
  <c r="Z40" i="4451"/>
  <c r="X40" i="4451"/>
  <c r="W40" i="4451"/>
  <c r="T40" i="4451"/>
  <c r="S40" i="4451"/>
  <c r="Q40" i="4451"/>
  <c r="P40" i="4451"/>
  <c r="N40" i="4451"/>
  <c r="K40" i="4451"/>
  <c r="I40" i="4451"/>
  <c r="H40" i="4451"/>
  <c r="AF39" i="4451"/>
  <c r="AE39" i="4451"/>
  <c r="AD39" i="4451"/>
  <c r="AC39" i="4451"/>
  <c r="AB39" i="4451"/>
  <c r="AA39" i="4451"/>
  <c r="Z39" i="4451"/>
  <c r="X39" i="4451"/>
  <c r="W39" i="4451"/>
  <c r="V39" i="4451"/>
  <c r="T39" i="4451"/>
  <c r="S39" i="4451"/>
  <c r="Q39" i="4451"/>
  <c r="P39" i="4451"/>
  <c r="O39" i="4451"/>
  <c r="N39" i="4451"/>
  <c r="M39" i="4451"/>
  <c r="L39" i="4451"/>
  <c r="K39" i="4451"/>
  <c r="J39" i="4451"/>
  <c r="I39" i="4451"/>
  <c r="H39" i="4451"/>
  <c r="G39" i="4451"/>
  <c r="F39" i="4451"/>
  <c r="E39" i="4451"/>
  <c r="D39" i="4451"/>
  <c r="Y38" i="4451"/>
  <c r="V38" i="4451"/>
  <c r="U38" i="4451"/>
  <c r="R38" i="4451"/>
  <c r="O38" i="4451"/>
  <c r="M38" i="4451"/>
  <c r="L38" i="4451"/>
  <c r="J38" i="4451"/>
  <c r="G38" i="4451"/>
  <c r="F38" i="4451"/>
  <c r="E38" i="4451"/>
  <c r="D38" i="4451"/>
  <c r="AF37" i="4451"/>
  <c r="AE37" i="4451"/>
  <c r="AD37" i="4451"/>
  <c r="AC37" i="4451"/>
  <c r="AB37" i="4451"/>
  <c r="AA37" i="4451"/>
  <c r="Z37" i="4451"/>
  <c r="X37" i="4451"/>
  <c r="W37" i="4451"/>
  <c r="V37" i="4451"/>
  <c r="T37" i="4451"/>
  <c r="S37" i="4451"/>
  <c r="Q37" i="4451"/>
  <c r="P37" i="4451"/>
  <c r="O37" i="4451"/>
  <c r="N37" i="4451"/>
  <c r="M37" i="4451"/>
  <c r="L37" i="4451"/>
  <c r="K37" i="4451"/>
  <c r="J37" i="4451"/>
  <c r="I37" i="4451"/>
  <c r="H37" i="4451"/>
  <c r="G37" i="4451"/>
  <c r="F37" i="4451"/>
  <c r="E37" i="4451"/>
  <c r="D37" i="4451"/>
  <c r="Y36" i="4451"/>
  <c r="V36" i="4451"/>
  <c r="U36" i="4451"/>
  <c r="R36" i="4451"/>
  <c r="O36" i="4451"/>
  <c r="M36" i="4451"/>
  <c r="L36" i="4451"/>
  <c r="J36" i="4451"/>
  <c r="G36" i="4451"/>
  <c r="F36" i="4451"/>
  <c r="E36" i="4451"/>
  <c r="D36" i="4451"/>
  <c r="AF35" i="4451"/>
  <c r="AE35" i="4451"/>
  <c r="AD35" i="4451"/>
  <c r="AC35" i="4451"/>
  <c r="AB35" i="4451"/>
  <c r="AA35" i="4451"/>
  <c r="Z35" i="4451"/>
  <c r="X35" i="4451"/>
  <c r="W35" i="4451"/>
  <c r="V35" i="4451"/>
  <c r="T35" i="4451"/>
  <c r="S35" i="4451"/>
  <c r="Q35" i="4451"/>
  <c r="P35" i="4451"/>
  <c r="O35" i="4451"/>
  <c r="N35" i="4451"/>
  <c r="M35" i="4451"/>
  <c r="L35" i="4451"/>
  <c r="K35" i="4451"/>
  <c r="J35" i="4451"/>
  <c r="I35" i="4451"/>
  <c r="H35" i="4451"/>
  <c r="G35" i="4451"/>
  <c r="F35" i="4451"/>
  <c r="E35" i="4451"/>
  <c r="D35" i="4451"/>
  <c r="Y34" i="4451"/>
  <c r="V34" i="4451"/>
  <c r="U34" i="4451"/>
  <c r="R34" i="4451"/>
  <c r="O34" i="4451"/>
  <c r="M34" i="4451"/>
  <c r="L34" i="4451"/>
  <c r="J34" i="4451"/>
  <c r="G34" i="4451"/>
  <c r="F34" i="4451"/>
  <c r="E34" i="4451"/>
  <c r="D34" i="4451"/>
  <c r="AF33" i="4451"/>
  <c r="AE33" i="4451"/>
  <c r="AD33" i="4451"/>
  <c r="AC33" i="4451"/>
  <c r="AB33" i="4451"/>
  <c r="AA33" i="4451"/>
  <c r="Z33" i="4451"/>
  <c r="X33" i="4451"/>
  <c r="W33" i="4451"/>
  <c r="V33" i="4451"/>
  <c r="T33" i="4451"/>
  <c r="S33" i="4451"/>
  <c r="Q33" i="4451"/>
  <c r="P33" i="4451"/>
  <c r="O33" i="4451"/>
  <c r="N33" i="4451"/>
  <c r="M33" i="4451"/>
  <c r="L33" i="4451"/>
  <c r="K33" i="4451"/>
  <c r="J33" i="4451"/>
  <c r="I33" i="4451"/>
  <c r="H33" i="4451"/>
  <c r="G33" i="4451"/>
  <c r="F33" i="4451"/>
  <c r="E33" i="4451"/>
  <c r="D33" i="4451"/>
  <c r="Y32" i="4451"/>
  <c r="V32" i="4451"/>
  <c r="U32" i="4451"/>
  <c r="R32" i="4451"/>
  <c r="O32" i="4451"/>
  <c r="M32" i="4451"/>
  <c r="L32" i="4451"/>
  <c r="J32" i="4451"/>
  <c r="G32" i="4451"/>
  <c r="F32" i="4451"/>
  <c r="E32" i="4451"/>
  <c r="D32" i="4451"/>
  <c r="AF31" i="4451"/>
  <c r="AE31" i="4451"/>
  <c r="AD31" i="4451"/>
  <c r="AC31" i="4451"/>
  <c r="AB31" i="4451"/>
  <c r="AA31" i="4451"/>
  <c r="Z31" i="4451"/>
  <c r="X31" i="4451"/>
  <c r="W31" i="4451"/>
  <c r="V31" i="4451"/>
  <c r="T31" i="4451"/>
  <c r="S31" i="4451"/>
  <c r="Q31" i="4451"/>
  <c r="P31" i="4451"/>
  <c r="O31" i="4451"/>
  <c r="N31" i="4451"/>
  <c r="M31" i="4451"/>
  <c r="L31" i="4451"/>
  <c r="K31" i="4451"/>
  <c r="J31" i="4451"/>
  <c r="I31" i="4451"/>
  <c r="H31" i="4451"/>
  <c r="G31" i="4451"/>
  <c r="F31" i="4451"/>
  <c r="E31" i="4451"/>
  <c r="D31" i="4451"/>
  <c r="Y30" i="4451"/>
  <c r="V30" i="4451"/>
  <c r="U30" i="4451"/>
  <c r="R30" i="4451"/>
  <c r="O30" i="4451"/>
  <c r="M30" i="4451"/>
  <c r="L30" i="4451"/>
  <c r="J30" i="4451"/>
  <c r="G30" i="4451"/>
  <c r="F30" i="4451"/>
  <c r="E30" i="4451"/>
  <c r="D30" i="4451"/>
  <c r="AF29" i="4451"/>
  <c r="AE29" i="4451"/>
  <c r="AD29" i="4451"/>
  <c r="AC29" i="4451"/>
  <c r="AB29" i="4451"/>
  <c r="AA29" i="4451"/>
  <c r="Z29" i="4451"/>
  <c r="X29" i="4451"/>
  <c r="W29" i="4451"/>
  <c r="V29" i="4451"/>
  <c r="T29" i="4451"/>
  <c r="S29" i="4451"/>
  <c r="Q29" i="4451"/>
  <c r="P29" i="4451"/>
  <c r="O29" i="4451"/>
  <c r="N29" i="4451"/>
  <c r="M29" i="4451"/>
  <c r="L29" i="4451"/>
  <c r="K29" i="4451"/>
  <c r="J29" i="4451"/>
  <c r="I29" i="4451"/>
  <c r="H29" i="4451"/>
  <c r="G29" i="4451"/>
  <c r="F29" i="4451"/>
  <c r="E29" i="4451"/>
  <c r="D29" i="4451"/>
  <c r="Y28" i="4451"/>
  <c r="V28" i="4451"/>
  <c r="U28" i="4451"/>
  <c r="R28" i="4451"/>
  <c r="O28" i="4451"/>
  <c r="M28" i="4451"/>
  <c r="L28" i="4451"/>
  <c r="J28" i="4451"/>
  <c r="G28" i="4451"/>
  <c r="F28" i="4451"/>
  <c r="E28" i="4451"/>
  <c r="D28" i="4451"/>
  <c r="AF27" i="4451"/>
  <c r="AE27" i="4451"/>
  <c r="AD27" i="4451"/>
  <c r="AC27" i="4451"/>
  <c r="AB27" i="4451"/>
  <c r="AA27" i="4451"/>
  <c r="Z27" i="4451"/>
  <c r="X27" i="4451"/>
  <c r="W27" i="4451"/>
  <c r="V27" i="4451"/>
  <c r="T27" i="4451"/>
  <c r="S27" i="4451"/>
  <c r="Q27" i="4451"/>
  <c r="P27" i="4451"/>
  <c r="O27" i="4451"/>
  <c r="N27" i="4451"/>
  <c r="M27" i="4451"/>
  <c r="L27" i="4451"/>
  <c r="K27" i="4451"/>
  <c r="J27" i="4451"/>
  <c r="I27" i="4451"/>
  <c r="H27" i="4451"/>
  <c r="G27" i="4451"/>
  <c r="F27" i="4451"/>
  <c r="E27" i="4451"/>
  <c r="D27" i="4451"/>
  <c r="Y26" i="4451"/>
  <c r="V26" i="4451"/>
  <c r="U26" i="4451"/>
  <c r="R26" i="4451"/>
  <c r="O26" i="4451"/>
  <c r="M26" i="4451"/>
  <c r="L26" i="4451"/>
  <c r="J26" i="4451"/>
  <c r="G26" i="4451"/>
  <c r="F26" i="4451"/>
  <c r="E26" i="4451"/>
  <c r="D26" i="4451"/>
  <c r="AF25" i="4451"/>
  <c r="AE25" i="4451"/>
  <c r="AD25" i="4451"/>
  <c r="AC25" i="4451"/>
  <c r="AB25" i="4451"/>
  <c r="AA25" i="4451"/>
  <c r="Z25" i="4451"/>
  <c r="X25" i="4451"/>
  <c r="W25" i="4451"/>
  <c r="V25" i="4451"/>
  <c r="T25" i="4451"/>
  <c r="S25" i="4451"/>
  <c r="Q25" i="4451"/>
  <c r="P25" i="4451"/>
  <c r="O25" i="4451"/>
  <c r="N25" i="4451"/>
  <c r="M25" i="4451"/>
  <c r="L25" i="4451"/>
  <c r="K25" i="4451"/>
  <c r="J25" i="4451"/>
  <c r="I25" i="4451"/>
  <c r="H25" i="4451"/>
  <c r="G25" i="4451"/>
  <c r="F25" i="4451"/>
  <c r="E25" i="4451"/>
  <c r="D25" i="4451"/>
  <c r="Y24" i="4451"/>
  <c r="V24" i="4451"/>
  <c r="U24" i="4451"/>
  <c r="R24" i="4451"/>
  <c r="O24" i="4451"/>
  <c r="M24" i="4451"/>
  <c r="L24" i="4451"/>
  <c r="J24" i="4451"/>
  <c r="G24" i="4451"/>
  <c r="F24" i="4451"/>
  <c r="E24" i="4451"/>
  <c r="D24" i="4451"/>
  <c r="AF23" i="4451"/>
  <c r="AF41" i="4451" s="1"/>
  <c r="AE23" i="4451"/>
  <c r="AE41" i="4451" s="1"/>
  <c r="AD23" i="4451"/>
  <c r="AC23" i="4451"/>
  <c r="AB23" i="4451"/>
  <c r="AB41" i="4451" s="1"/>
  <c r="AA23" i="4451"/>
  <c r="AA41" i="4451" s="1"/>
  <c r="Z23" i="4451"/>
  <c r="X23" i="4451"/>
  <c r="W23" i="4451"/>
  <c r="W41" i="4451" s="1"/>
  <c r="V23" i="4451"/>
  <c r="V41" i="4451" s="1"/>
  <c r="T23" i="4451"/>
  <c r="S23" i="4451"/>
  <c r="Q23" i="4451"/>
  <c r="Q41" i="4451" s="1"/>
  <c r="P23" i="4451"/>
  <c r="P41" i="4451" s="1"/>
  <c r="O23" i="4451"/>
  <c r="N23" i="4451"/>
  <c r="M23" i="4451"/>
  <c r="M41" i="4451" s="1"/>
  <c r="L23" i="4451"/>
  <c r="L41" i="4451" s="1"/>
  <c r="K23" i="4451"/>
  <c r="J23" i="4451"/>
  <c r="I23" i="4451"/>
  <c r="I41" i="4451" s="1"/>
  <c r="H23" i="4451"/>
  <c r="H41" i="4451" s="1"/>
  <c r="G23" i="4451"/>
  <c r="F23" i="4451"/>
  <c r="E23" i="4451"/>
  <c r="E41" i="4451" s="1"/>
  <c r="D23" i="4451"/>
  <c r="D41" i="4451" s="1"/>
  <c r="Y22" i="4451"/>
  <c r="V22" i="4451"/>
  <c r="U22" i="4451"/>
  <c r="U40" i="4451" s="1"/>
  <c r="R22" i="4451"/>
  <c r="R40" i="4451" s="1"/>
  <c r="O22" i="4451"/>
  <c r="M22" i="4451"/>
  <c r="L22" i="4451"/>
  <c r="L40" i="4451" s="1"/>
  <c r="J22" i="4451"/>
  <c r="J40" i="4451" s="1"/>
  <c r="G22" i="4451"/>
  <c r="F22" i="4451"/>
  <c r="E22" i="4451"/>
  <c r="E40" i="4451" s="1"/>
  <c r="D22" i="4451"/>
  <c r="D40" i="4451" s="1"/>
  <c r="Y21" i="4451"/>
  <c r="U21" i="4451"/>
  <c r="R21" i="4451"/>
  <c r="AF20" i="4451"/>
  <c r="AE20" i="4451"/>
  <c r="AD20" i="4451"/>
  <c r="AC20" i="4451"/>
  <c r="AB20" i="4451"/>
  <c r="AA20" i="4451"/>
  <c r="Z20" i="4451"/>
  <c r="X20" i="4451"/>
  <c r="W20" i="4451"/>
  <c r="T20" i="4451"/>
  <c r="S20" i="4451"/>
  <c r="Q20" i="4451"/>
  <c r="P20" i="4451"/>
  <c r="N20" i="4451"/>
  <c r="K20" i="4451"/>
  <c r="I20" i="4451"/>
  <c r="H20" i="4451"/>
  <c r="AF19" i="4451"/>
  <c r="AE19" i="4451"/>
  <c r="AD19" i="4451"/>
  <c r="AC19" i="4451"/>
  <c r="AB19" i="4451"/>
  <c r="AA19" i="4451"/>
  <c r="Z19" i="4451"/>
  <c r="X19" i="4451"/>
  <c r="W19" i="4451"/>
  <c r="V19" i="4451"/>
  <c r="T19" i="4451"/>
  <c r="S19" i="4451"/>
  <c r="Q19" i="4451"/>
  <c r="P19" i="4451"/>
  <c r="O19" i="4451"/>
  <c r="N19" i="4451"/>
  <c r="M19" i="4451"/>
  <c r="L19" i="4451"/>
  <c r="K19" i="4451"/>
  <c r="J19" i="4451"/>
  <c r="I19" i="4451"/>
  <c r="H19" i="4451"/>
  <c r="G19" i="4451"/>
  <c r="F19" i="4451"/>
  <c r="E19" i="4451"/>
  <c r="D19" i="4451"/>
  <c r="Y18" i="4451"/>
  <c r="V18" i="4451"/>
  <c r="U18" i="4451"/>
  <c r="R18" i="4451"/>
  <c r="O18" i="4451"/>
  <c r="M18" i="4451"/>
  <c r="L18" i="4451"/>
  <c r="J18" i="4451"/>
  <c r="G18" i="4451"/>
  <c r="F18" i="4451"/>
  <c r="E18" i="4451"/>
  <c r="D18" i="4451"/>
  <c r="AF17" i="4451"/>
  <c r="AE17" i="4451"/>
  <c r="AD17" i="4451"/>
  <c r="AC17" i="4451"/>
  <c r="AB17" i="4451"/>
  <c r="AA17" i="4451"/>
  <c r="Z17" i="4451"/>
  <c r="X17" i="4451"/>
  <c r="W17" i="4451"/>
  <c r="V17" i="4451"/>
  <c r="T17" i="4451"/>
  <c r="S17" i="4451"/>
  <c r="Q17" i="4451"/>
  <c r="P17" i="4451"/>
  <c r="O17" i="4451"/>
  <c r="N17" i="4451"/>
  <c r="M17" i="4451"/>
  <c r="L17" i="4451"/>
  <c r="K17" i="4451"/>
  <c r="J17" i="4451"/>
  <c r="I17" i="4451"/>
  <c r="H17" i="4451"/>
  <c r="G17" i="4451"/>
  <c r="F17" i="4451"/>
  <c r="E17" i="4451"/>
  <c r="D17" i="4451"/>
  <c r="Y16" i="4451"/>
  <c r="V16" i="4451"/>
  <c r="U16" i="4451"/>
  <c r="R16" i="4451"/>
  <c r="O16" i="4451"/>
  <c r="M16" i="4451"/>
  <c r="L16" i="4451"/>
  <c r="J16" i="4451"/>
  <c r="G16" i="4451"/>
  <c r="F16" i="4451"/>
  <c r="E16" i="4451"/>
  <c r="D16" i="4451"/>
  <c r="AF15" i="4451"/>
  <c r="AE15" i="4451"/>
  <c r="AD15" i="4451"/>
  <c r="AC15" i="4451"/>
  <c r="AB15" i="4451"/>
  <c r="AA15" i="4451"/>
  <c r="Z15" i="4451"/>
  <c r="X15" i="4451"/>
  <c r="W15" i="4451"/>
  <c r="V15" i="4451"/>
  <c r="T15" i="4451"/>
  <c r="S15" i="4451"/>
  <c r="Q15" i="4451"/>
  <c r="P15" i="4451"/>
  <c r="O15" i="4451"/>
  <c r="N15" i="4451"/>
  <c r="M15" i="4451"/>
  <c r="L15" i="4451"/>
  <c r="K15" i="4451"/>
  <c r="J15" i="4451"/>
  <c r="I15" i="4451"/>
  <c r="H15" i="4451"/>
  <c r="G15" i="4451"/>
  <c r="F15" i="4451"/>
  <c r="E15" i="4451"/>
  <c r="D15" i="4451"/>
  <c r="Y14" i="4451"/>
  <c r="V14" i="4451"/>
  <c r="U14" i="4451"/>
  <c r="R14" i="4451"/>
  <c r="O14" i="4451"/>
  <c r="M14" i="4451"/>
  <c r="L14" i="4451"/>
  <c r="J14" i="4451"/>
  <c r="G14" i="4451"/>
  <c r="F14" i="4451"/>
  <c r="E14" i="4451"/>
  <c r="D14" i="4451"/>
  <c r="AF13" i="4451"/>
  <c r="AE13" i="4451"/>
  <c r="AD13" i="4451"/>
  <c r="AC13" i="4451"/>
  <c r="AB13" i="4451"/>
  <c r="AA13" i="4451"/>
  <c r="Z13" i="4451"/>
  <c r="X13" i="4451"/>
  <c r="W13" i="4451"/>
  <c r="V13" i="4451"/>
  <c r="T13" i="4451"/>
  <c r="S13" i="4451"/>
  <c r="Q13" i="4451"/>
  <c r="P13" i="4451"/>
  <c r="O13" i="4451"/>
  <c r="N13" i="4451"/>
  <c r="M13" i="4451"/>
  <c r="L13" i="4451"/>
  <c r="K13" i="4451"/>
  <c r="J13" i="4451"/>
  <c r="I13" i="4451"/>
  <c r="H13" i="4451"/>
  <c r="G13" i="4451"/>
  <c r="F13" i="4451"/>
  <c r="E13" i="4451"/>
  <c r="D13" i="4451"/>
  <c r="Y12" i="4451"/>
  <c r="V12" i="4451"/>
  <c r="U12" i="4451"/>
  <c r="R12" i="4451"/>
  <c r="O12" i="4451"/>
  <c r="M12" i="4451"/>
  <c r="L12" i="4451"/>
  <c r="J12" i="4451"/>
  <c r="G12" i="4451"/>
  <c r="F12" i="4451"/>
  <c r="E12" i="4451"/>
  <c r="D12" i="4451"/>
  <c r="AF11" i="4451"/>
  <c r="AE11" i="4451"/>
  <c r="AD11" i="4451"/>
  <c r="AC11" i="4451"/>
  <c r="AB11" i="4451"/>
  <c r="AA11" i="4451"/>
  <c r="Z11" i="4451"/>
  <c r="X11" i="4451"/>
  <c r="W11" i="4451"/>
  <c r="V11" i="4451"/>
  <c r="T11" i="4451"/>
  <c r="S11" i="4451"/>
  <c r="Q11" i="4451"/>
  <c r="P11" i="4451"/>
  <c r="O11" i="4451"/>
  <c r="N11" i="4451"/>
  <c r="M11" i="4451"/>
  <c r="L11" i="4451"/>
  <c r="K11" i="4451"/>
  <c r="J11" i="4451"/>
  <c r="I11" i="4451"/>
  <c r="H11" i="4451"/>
  <c r="G11" i="4451"/>
  <c r="F11" i="4451"/>
  <c r="E11" i="4451"/>
  <c r="D11" i="4451"/>
  <c r="Y10" i="4451"/>
  <c r="V10" i="4451"/>
  <c r="U10" i="4451"/>
  <c r="R10" i="4451"/>
  <c r="O10" i="4451"/>
  <c r="M10" i="4451"/>
  <c r="L10" i="4451"/>
  <c r="J10" i="4451"/>
  <c r="G10" i="4451"/>
  <c r="F10" i="4451"/>
  <c r="E10" i="4451"/>
  <c r="D10" i="4451"/>
  <c r="AF9" i="4451"/>
  <c r="AE9" i="4451"/>
  <c r="AD9" i="4451"/>
  <c r="AC9" i="4451"/>
  <c r="AB9" i="4451"/>
  <c r="AA9" i="4451"/>
  <c r="Z9" i="4451"/>
  <c r="X9" i="4451"/>
  <c r="W9" i="4451"/>
  <c r="V9" i="4451"/>
  <c r="T9" i="4451"/>
  <c r="S9" i="4451"/>
  <c r="Q9" i="4451"/>
  <c r="P9" i="4451"/>
  <c r="O9" i="4451"/>
  <c r="N9" i="4451"/>
  <c r="M9" i="4451"/>
  <c r="L9" i="4451"/>
  <c r="K9" i="4451"/>
  <c r="J9" i="4451"/>
  <c r="I9" i="4451"/>
  <c r="H9" i="4451"/>
  <c r="G9" i="4451"/>
  <c r="F9" i="4451"/>
  <c r="E9" i="4451"/>
  <c r="D9" i="4451"/>
  <c r="Y8" i="4451"/>
  <c r="V8" i="4451"/>
  <c r="U8" i="4451"/>
  <c r="R8" i="4451"/>
  <c r="O8" i="4451"/>
  <c r="M8" i="4451"/>
  <c r="L8" i="4451"/>
  <c r="J8" i="4451"/>
  <c r="G8" i="4451"/>
  <c r="F8" i="4451"/>
  <c r="E8" i="4451"/>
  <c r="D8" i="4451"/>
  <c r="AF7" i="4451"/>
  <c r="AE7" i="4451"/>
  <c r="AD7" i="4451"/>
  <c r="AC7" i="4451"/>
  <c r="AB7" i="4451"/>
  <c r="AA7" i="4451"/>
  <c r="Z7" i="4451"/>
  <c r="X7" i="4451"/>
  <c r="W7" i="4451"/>
  <c r="V7" i="4451"/>
  <c r="T7" i="4451"/>
  <c r="S7" i="4451"/>
  <c r="Q7" i="4451"/>
  <c r="P7" i="4451"/>
  <c r="O7" i="4451"/>
  <c r="N7" i="4451"/>
  <c r="M7" i="4451"/>
  <c r="L7" i="4451"/>
  <c r="K7" i="4451"/>
  <c r="J7" i="4451"/>
  <c r="I7" i="4451"/>
  <c r="H7" i="4451"/>
  <c r="G7" i="4451"/>
  <c r="F7" i="4451"/>
  <c r="E7" i="4451"/>
  <c r="D7" i="4451"/>
  <c r="Y6" i="4451"/>
  <c r="V6" i="4451"/>
  <c r="U6" i="4451"/>
  <c r="R6" i="4451"/>
  <c r="O6" i="4451"/>
  <c r="M6" i="4451"/>
  <c r="L6" i="4451"/>
  <c r="J6" i="4451"/>
  <c r="G6" i="4451"/>
  <c r="F6" i="4451"/>
  <c r="E6" i="4451"/>
  <c r="D6" i="4451"/>
  <c r="AF5" i="4451"/>
  <c r="AE5" i="4451"/>
  <c r="AE21" i="4451" s="1"/>
  <c r="AD5" i="4451"/>
  <c r="AC5" i="4451"/>
  <c r="AB5" i="4451"/>
  <c r="AA5" i="4451"/>
  <c r="Z5" i="4451"/>
  <c r="X5" i="4451"/>
  <c r="W5" i="4451"/>
  <c r="V5" i="4451"/>
  <c r="T5" i="4451"/>
  <c r="S5" i="4451"/>
  <c r="Q5" i="4451"/>
  <c r="P5" i="4451"/>
  <c r="O5" i="4451"/>
  <c r="N5" i="4451"/>
  <c r="M5" i="4451"/>
  <c r="L5" i="4451"/>
  <c r="K5" i="4451"/>
  <c r="J5" i="4451"/>
  <c r="I5" i="4451"/>
  <c r="H5" i="4451"/>
  <c r="G5" i="4451"/>
  <c r="F5" i="4451"/>
  <c r="E5" i="4451"/>
  <c r="D5" i="4451"/>
  <c r="Y4" i="4451"/>
  <c r="V4" i="4451"/>
  <c r="U4" i="4451"/>
  <c r="R4" i="4451"/>
  <c r="O4" i="4451"/>
  <c r="M4" i="4451"/>
  <c r="L4" i="4451"/>
  <c r="J4" i="4451"/>
  <c r="G4" i="4451"/>
  <c r="F4" i="4451"/>
  <c r="E4" i="4451"/>
  <c r="D4" i="4451"/>
  <c r="AF3" i="4451"/>
  <c r="AF21" i="4451" s="1"/>
  <c r="AD3" i="4451"/>
  <c r="AC3" i="4451"/>
  <c r="AB3" i="4451"/>
  <c r="AA3" i="4451"/>
  <c r="Z3" i="4451"/>
  <c r="X3" i="4451"/>
  <c r="W3" i="4451"/>
  <c r="V3" i="4451"/>
  <c r="T3" i="4451"/>
  <c r="S3" i="4451"/>
  <c r="Q3" i="4451"/>
  <c r="P3" i="4451"/>
  <c r="O3" i="4451"/>
  <c r="N3" i="4451"/>
  <c r="M3" i="4451"/>
  <c r="L3" i="4451"/>
  <c r="K3" i="4451"/>
  <c r="J3" i="4451"/>
  <c r="I3" i="4451"/>
  <c r="H3" i="4451"/>
  <c r="G3" i="4451"/>
  <c r="F3" i="4451"/>
  <c r="E3" i="4451"/>
  <c r="D3" i="4451"/>
  <c r="Y2" i="4451"/>
  <c r="V2" i="4451"/>
  <c r="U2" i="4451"/>
  <c r="R2" i="4451"/>
  <c r="O2" i="4451"/>
  <c r="M2" i="4451"/>
  <c r="L2" i="4451"/>
  <c r="J2" i="4451"/>
  <c r="G2" i="4451"/>
  <c r="F2" i="4451"/>
  <c r="E2" i="4451"/>
  <c r="D2" i="4451"/>
  <c r="AB30" i="4450"/>
  <c r="AA30" i="4450"/>
  <c r="Z30" i="4450"/>
  <c r="Y30" i="4450"/>
  <c r="X30" i="4450"/>
  <c r="W30" i="4450"/>
  <c r="V30" i="4450"/>
  <c r="U30" i="4450"/>
  <c r="T30" i="4450"/>
  <c r="S30" i="4450"/>
  <c r="R30" i="4450"/>
  <c r="Q30" i="4450"/>
  <c r="P30" i="4450"/>
  <c r="O30" i="4450"/>
  <c r="N30" i="4450"/>
  <c r="M30" i="4450"/>
  <c r="L30" i="4450"/>
  <c r="K30" i="4450"/>
  <c r="J30" i="4450"/>
  <c r="I30" i="4450"/>
  <c r="H30" i="4450"/>
  <c r="G30" i="4450"/>
  <c r="F30" i="4450"/>
  <c r="E30" i="4450"/>
  <c r="D30" i="4450"/>
  <c r="C30" i="4450"/>
  <c r="AC29" i="4450"/>
  <c r="AC28" i="4450"/>
  <c r="AC27" i="4450"/>
  <c r="AC26" i="4450"/>
  <c r="AB25" i="4450"/>
  <c r="AF50" i="4451" s="1"/>
  <c r="AA25" i="4450"/>
  <c r="AE50" i="4451" s="1"/>
  <c r="Z25" i="4450"/>
  <c r="AD50" i="4451" s="1"/>
  <c r="Y25" i="4450"/>
  <c r="AC50" i="4451" s="1"/>
  <c r="X25" i="4450"/>
  <c r="AB50" i="4451" s="1"/>
  <c r="W25" i="4450"/>
  <c r="AA50" i="4451" s="1"/>
  <c r="V25" i="4450"/>
  <c r="Z50" i="4451" s="1"/>
  <c r="U25" i="4450"/>
  <c r="X50" i="4451" s="1"/>
  <c r="T25" i="4450"/>
  <c r="W50" i="4451" s="1"/>
  <c r="S25" i="4450"/>
  <c r="V50" i="4451" s="1"/>
  <c r="R25" i="4450"/>
  <c r="T50" i="4451" s="1"/>
  <c r="Q25" i="4450"/>
  <c r="S50" i="4451" s="1"/>
  <c r="P25" i="4450"/>
  <c r="Q50" i="4451" s="1"/>
  <c r="O25" i="4450"/>
  <c r="P50" i="4451" s="1"/>
  <c r="N25" i="4450"/>
  <c r="O50" i="4451" s="1"/>
  <c r="M25" i="4450"/>
  <c r="N50" i="4451" s="1"/>
  <c r="L25" i="4450"/>
  <c r="M50" i="4451" s="1"/>
  <c r="K25" i="4450"/>
  <c r="L50" i="4451" s="1"/>
  <c r="J25" i="4450"/>
  <c r="K50" i="4451" s="1"/>
  <c r="I25" i="4450"/>
  <c r="J50" i="4451" s="1"/>
  <c r="H25" i="4450"/>
  <c r="I50" i="4451" s="1"/>
  <c r="G25" i="4450"/>
  <c r="H50" i="4451" s="1"/>
  <c r="F25" i="4450"/>
  <c r="G50" i="4451" s="1"/>
  <c r="E25" i="4450"/>
  <c r="F50" i="4451" s="1"/>
  <c r="D25" i="4450"/>
  <c r="E50" i="4451" s="1"/>
  <c r="C25" i="4450"/>
  <c r="D50" i="4451" s="1"/>
  <c r="AC24" i="4450"/>
  <c r="AC23" i="4450"/>
  <c r="AB21" i="4450"/>
  <c r="AB22" i="4450" s="1"/>
  <c r="AA21" i="4450"/>
  <c r="Z21" i="4450"/>
  <c r="Z22" i="4450" s="1"/>
  <c r="Y21" i="4450"/>
  <c r="X21" i="4450"/>
  <c r="X22" i="4450" s="1"/>
  <c r="W21" i="4450"/>
  <c r="V21" i="4450"/>
  <c r="V22" i="4450" s="1"/>
  <c r="U21" i="4450"/>
  <c r="T21" i="4450"/>
  <c r="T22" i="4450" s="1"/>
  <c r="S21" i="4450"/>
  <c r="R21" i="4450"/>
  <c r="R22" i="4450" s="1"/>
  <c r="Q21" i="4450"/>
  <c r="P21" i="4450"/>
  <c r="P22" i="4450" s="1"/>
  <c r="O21" i="4450"/>
  <c r="N21" i="4450"/>
  <c r="N22" i="4450" s="1"/>
  <c r="M21" i="4450"/>
  <c r="L21" i="4450"/>
  <c r="L22" i="4450" s="1"/>
  <c r="K21" i="4450"/>
  <c r="J21" i="4450"/>
  <c r="J22" i="4450" s="1"/>
  <c r="I21" i="4450"/>
  <c r="H21" i="4450"/>
  <c r="H22" i="4450" s="1"/>
  <c r="G21" i="4450"/>
  <c r="F21" i="4450"/>
  <c r="F22" i="4450" s="1"/>
  <c r="E21" i="4450"/>
  <c r="D21" i="4450"/>
  <c r="D22" i="4450" s="1"/>
  <c r="C21" i="4450"/>
  <c r="AC20" i="4450"/>
  <c r="AC19" i="4450"/>
  <c r="AC18" i="4450"/>
  <c r="AC17" i="4450"/>
  <c r="AC16" i="4450"/>
  <c r="AC15" i="4450"/>
  <c r="AC14" i="4450"/>
  <c r="AC13" i="4450"/>
  <c r="AC12" i="4450"/>
  <c r="AB11" i="4450"/>
  <c r="AA11" i="4450"/>
  <c r="Z11" i="4450"/>
  <c r="Y11" i="4450"/>
  <c r="X11" i="4450"/>
  <c r="W11" i="4450"/>
  <c r="V11" i="4450"/>
  <c r="U11" i="4450"/>
  <c r="T11" i="4450"/>
  <c r="S11" i="4450"/>
  <c r="R11" i="4450"/>
  <c r="Q11" i="4450"/>
  <c r="P11" i="4450"/>
  <c r="O11" i="4450"/>
  <c r="N11" i="4450"/>
  <c r="M11" i="4450"/>
  <c r="L11" i="4450"/>
  <c r="K11" i="4450"/>
  <c r="J11" i="4450"/>
  <c r="I11" i="4450"/>
  <c r="H11" i="4450"/>
  <c r="G11" i="4450"/>
  <c r="F11" i="4450"/>
  <c r="E11" i="4450"/>
  <c r="D11" i="4450"/>
  <c r="C11" i="4450"/>
  <c r="AC10" i="4450"/>
  <c r="AC9" i="4450"/>
  <c r="AC8" i="4450"/>
  <c r="AC7" i="4450"/>
  <c r="AC6" i="4450"/>
  <c r="AC5" i="4450"/>
  <c r="AC4" i="4450"/>
  <c r="AC3" i="4450"/>
  <c r="AC2" i="4450"/>
  <c r="N34" i="4449"/>
  <c r="M34" i="4449"/>
  <c r="L34" i="4449"/>
  <c r="K34" i="4449"/>
  <c r="J34" i="4449"/>
  <c r="I34" i="4449"/>
  <c r="H34" i="4449"/>
  <c r="G34" i="4449"/>
  <c r="F34" i="4449"/>
  <c r="E34" i="4449"/>
  <c r="D34" i="4449"/>
  <c r="C34" i="4449"/>
  <c r="K30" i="4449"/>
  <c r="O29" i="4449"/>
  <c r="O28" i="4449"/>
  <c r="O27" i="4449"/>
  <c r="N26" i="4449"/>
  <c r="Y51" i="4451" s="1"/>
  <c r="M26" i="4449"/>
  <c r="V51" i="4451" s="1"/>
  <c r="L26" i="4449"/>
  <c r="U51" i="4451" s="1"/>
  <c r="J26" i="4449"/>
  <c r="O51" i="4451" s="1"/>
  <c r="I26" i="4449"/>
  <c r="M51" i="4451" s="1"/>
  <c r="H26" i="4449"/>
  <c r="L51" i="4451" s="1"/>
  <c r="G26" i="4449"/>
  <c r="J51" i="4451" s="1"/>
  <c r="F26" i="4449"/>
  <c r="G51" i="4451" s="1"/>
  <c r="E26" i="4449"/>
  <c r="F51" i="4451" s="1"/>
  <c r="D26" i="4449"/>
  <c r="E51" i="4451" s="1"/>
  <c r="C26" i="4449"/>
  <c r="D51" i="4451" s="1"/>
  <c r="N25" i="4449"/>
  <c r="Y49" i="4451" s="1"/>
  <c r="M25" i="4449"/>
  <c r="V49" i="4451" s="1"/>
  <c r="L25" i="4449"/>
  <c r="U49" i="4451" s="1"/>
  <c r="K25" i="4449"/>
  <c r="R49" i="4451" s="1"/>
  <c r="J25" i="4449"/>
  <c r="O49" i="4451" s="1"/>
  <c r="I25" i="4449"/>
  <c r="M49" i="4451" s="1"/>
  <c r="H25" i="4449"/>
  <c r="L49" i="4451" s="1"/>
  <c r="G25" i="4449"/>
  <c r="J49" i="4451" s="1"/>
  <c r="F25" i="4449"/>
  <c r="G49" i="4451" s="1"/>
  <c r="E25" i="4449"/>
  <c r="F49" i="4451" s="1"/>
  <c r="D25" i="4449"/>
  <c r="E49" i="4451" s="1"/>
  <c r="C25" i="4449"/>
  <c r="D49" i="4451" s="1"/>
  <c r="O24" i="4449"/>
  <c r="O23" i="4449"/>
  <c r="N21" i="4449"/>
  <c r="M21" i="4449"/>
  <c r="M22" i="4449" s="1"/>
  <c r="L21" i="4449"/>
  <c r="K21" i="4449"/>
  <c r="K22" i="4449" s="1"/>
  <c r="K31" i="4449" s="1"/>
  <c r="J21" i="4449"/>
  <c r="I21" i="4449"/>
  <c r="I22" i="4449" s="1"/>
  <c r="H21" i="4449"/>
  <c r="G21" i="4449"/>
  <c r="G22" i="4449" s="1"/>
  <c r="F21" i="4449"/>
  <c r="E21" i="4449"/>
  <c r="E22" i="4449" s="1"/>
  <c r="D21" i="4449"/>
  <c r="C21" i="4449"/>
  <c r="O21" i="4449" s="1"/>
  <c r="O20" i="4449"/>
  <c r="O19" i="4449"/>
  <c r="O18" i="4449"/>
  <c r="O17" i="4449"/>
  <c r="O16" i="4449"/>
  <c r="O15" i="4449"/>
  <c r="O14" i="4449"/>
  <c r="O13" i="4449"/>
  <c r="O12" i="4449"/>
  <c r="N11" i="4449"/>
  <c r="M11" i="4449"/>
  <c r="L11" i="4449"/>
  <c r="K11" i="4449"/>
  <c r="J11" i="4449"/>
  <c r="I11" i="4449"/>
  <c r="H11" i="4449"/>
  <c r="G11" i="4449"/>
  <c r="F11" i="4449"/>
  <c r="E11" i="4449"/>
  <c r="D11" i="4449"/>
  <c r="C11" i="4449"/>
  <c r="O10" i="4449"/>
  <c r="O9" i="4449"/>
  <c r="O8" i="4449"/>
  <c r="O7" i="4449"/>
  <c r="O6" i="4449"/>
  <c r="O5" i="4449"/>
  <c r="O4" i="4449"/>
  <c r="O3" i="4449"/>
  <c r="O2" i="4449"/>
  <c r="O11" i="4449" l="1"/>
  <c r="F22" i="4449"/>
  <c r="J22" i="4449"/>
  <c r="N22" i="4449"/>
  <c r="E22" i="4450"/>
  <c r="I22" i="4450"/>
  <c r="M22" i="4450"/>
  <c r="M31" i="4450" s="1"/>
  <c r="Q22" i="4450"/>
  <c r="U22" i="4450"/>
  <c r="Y22" i="4450"/>
  <c r="AC30" i="4450"/>
  <c r="AC31" i="4450" s="1"/>
  <c r="D56" i="4452"/>
  <c r="E57" i="4452"/>
  <c r="E107" i="4452" s="1"/>
  <c r="E109" i="4452" s="1"/>
  <c r="I57" i="4452"/>
  <c r="I107" i="4452" s="1"/>
  <c r="I109" i="4452" s="1"/>
  <c r="T57" i="4452"/>
  <c r="T107" i="4452" s="1"/>
  <c r="T109" i="4452" s="1"/>
  <c r="M31" i="4452"/>
  <c r="Q54" i="4452"/>
  <c r="M51" i="4452"/>
  <c r="AC21" i="4450"/>
  <c r="AC22" i="4450" s="1"/>
  <c r="F40" i="4451"/>
  <c r="M40" i="4451"/>
  <c r="V40" i="4451"/>
  <c r="F41" i="4451"/>
  <c r="J41" i="4451"/>
  <c r="N41" i="4451"/>
  <c r="S41" i="4451"/>
  <c r="X41" i="4451"/>
  <c r="X43" i="4451" s="1"/>
  <c r="AC41" i="4451"/>
  <c r="O57" i="4452"/>
  <c r="O107" i="4452" s="1"/>
  <c r="O109" i="4452" s="1"/>
  <c r="M81" i="4452"/>
  <c r="M87" i="4452"/>
  <c r="M93" i="4452"/>
  <c r="F105" i="4452"/>
  <c r="F107" i="4452" s="1"/>
  <c r="F109" i="4452" s="1"/>
  <c r="J105" i="4452"/>
  <c r="C30" i="4453"/>
  <c r="D22" i="4449"/>
  <c r="H22" i="4449"/>
  <c r="L22" i="4449"/>
  <c r="O34" i="4449"/>
  <c r="AC11" i="4450"/>
  <c r="C22" i="4450"/>
  <c r="G22" i="4450"/>
  <c r="K22" i="4450"/>
  <c r="O22" i="4450"/>
  <c r="S22" i="4450"/>
  <c r="W22" i="4450"/>
  <c r="AA22" i="4450"/>
  <c r="G40" i="4451"/>
  <c r="O40" i="4451"/>
  <c r="Y40" i="4451"/>
  <c r="G41" i="4451"/>
  <c r="K41" i="4451"/>
  <c r="O41" i="4451"/>
  <c r="T41" i="4451"/>
  <c r="Z41" i="4451"/>
  <c r="AD41" i="4451"/>
  <c r="D55" i="4452"/>
  <c r="G57" i="4452"/>
  <c r="G107" i="4452" s="1"/>
  <c r="G109" i="4452" s="1"/>
  <c r="K107" i="4452"/>
  <c r="R57" i="4452"/>
  <c r="R107" i="4452" s="1"/>
  <c r="R109" i="4452" s="1"/>
  <c r="M15" i="4452"/>
  <c r="U30" i="4452"/>
  <c r="U42" i="4452"/>
  <c r="M54" i="4452"/>
  <c r="Q102" i="4452"/>
  <c r="Q105" i="4452" s="1"/>
  <c r="M75" i="4452"/>
  <c r="U81" i="4452"/>
  <c r="U87" i="4452"/>
  <c r="U93" i="4452"/>
  <c r="C105" i="4452"/>
  <c r="C107" i="4452" s="1"/>
  <c r="C109" i="4452" s="1"/>
  <c r="G105" i="4452"/>
  <c r="K105" i="4452"/>
  <c r="D30" i="4453"/>
  <c r="D53" i="4453" s="1"/>
  <c r="D55" i="4453" s="1"/>
  <c r="C52" i="4453"/>
  <c r="C53" i="4453" s="1"/>
  <c r="C55" i="4453" s="1"/>
  <c r="D54" i="4455"/>
  <c r="E64" i="4454"/>
  <c r="E54" i="4455"/>
  <c r="D20" i="4451"/>
  <c r="F20" i="4451"/>
  <c r="J20" i="4451"/>
  <c r="M20" i="4451"/>
  <c r="R20" i="4451"/>
  <c r="V20" i="4451"/>
  <c r="D21" i="4451"/>
  <c r="F21" i="4451"/>
  <c r="H21" i="4451"/>
  <c r="J21" i="4451"/>
  <c r="L21" i="4451"/>
  <c r="N21" i="4451"/>
  <c r="N43" i="4451" s="1"/>
  <c r="P21" i="4451"/>
  <c r="S21" i="4451"/>
  <c r="V21" i="4451"/>
  <c r="X21" i="4451"/>
  <c r="AA21" i="4451"/>
  <c r="AC21" i="4451"/>
  <c r="E60" i="4451"/>
  <c r="G60" i="4451"/>
  <c r="I60" i="4451"/>
  <c r="K60" i="4451"/>
  <c r="M60" i="4451"/>
  <c r="O60" i="4451"/>
  <c r="Q60" i="4451"/>
  <c r="T60" i="4451"/>
  <c r="W60" i="4451"/>
  <c r="Z60" i="4451"/>
  <c r="AB60" i="4451"/>
  <c r="AD60" i="4451"/>
  <c r="AF60" i="4451"/>
  <c r="AG52" i="4451"/>
  <c r="AG53" i="4451"/>
  <c r="AG54" i="4451"/>
  <c r="AG55" i="4451"/>
  <c r="AG56" i="4451"/>
  <c r="AG57" i="4451"/>
  <c r="AG58" i="4451"/>
  <c r="K15" i="4460"/>
  <c r="O3" i="4460"/>
  <c r="K15" i="4461"/>
  <c r="O3" i="4461"/>
  <c r="J15" i="4460"/>
  <c r="N3" i="4460"/>
  <c r="J15" i="4461"/>
  <c r="N3" i="4461"/>
  <c r="AG34" i="4451"/>
  <c r="AG35" i="4451"/>
  <c r="AG36" i="4451"/>
  <c r="AG37" i="4451"/>
  <c r="AG38" i="4451"/>
  <c r="R59" i="4451"/>
  <c r="R61" i="4451" s="1"/>
  <c r="D60" i="4451"/>
  <c r="F60" i="4451"/>
  <c r="H60" i="4451"/>
  <c r="J60" i="4451"/>
  <c r="L60" i="4451"/>
  <c r="N60" i="4451"/>
  <c r="P60" i="4451"/>
  <c r="S60" i="4451"/>
  <c r="S61" i="4451" s="1"/>
  <c r="V60" i="4451"/>
  <c r="X60" i="4451"/>
  <c r="AA60" i="4451"/>
  <c r="AC60" i="4451"/>
  <c r="AE60" i="4451"/>
  <c r="AG39" i="4451"/>
  <c r="AG47" i="4451"/>
  <c r="AG51" i="4451"/>
  <c r="E20" i="4451"/>
  <c r="G20" i="4451"/>
  <c r="L20" i="4451"/>
  <c r="L42" i="4451" s="1"/>
  <c r="O20" i="4451"/>
  <c r="O42" i="4451" s="1"/>
  <c r="U20" i="4451"/>
  <c r="Y20" i="4451"/>
  <c r="E21" i="4451"/>
  <c r="E43" i="4451" s="1"/>
  <c r="E63" i="4451" s="1"/>
  <c r="G21" i="4451"/>
  <c r="G43" i="4451" s="1"/>
  <c r="G63" i="4451" s="1"/>
  <c r="I21" i="4451"/>
  <c r="K21" i="4451"/>
  <c r="M21" i="4451"/>
  <c r="M43" i="4451" s="1"/>
  <c r="M63" i="4451" s="1"/>
  <c r="O21" i="4451"/>
  <c r="O43" i="4451" s="1"/>
  <c r="O63" i="4451" s="1"/>
  <c r="Q21" i="4451"/>
  <c r="T21" i="4451"/>
  <c r="W21" i="4451"/>
  <c r="Z21" i="4451"/>
  <c r="Z43" i="4451" s="1"/>
  <c r="Z63" i="4451" s="1"/>
  <c r="AB21" i="4451"/>
  <c r="AD21" i="4451"/>
  <c r="AD43" i="4451" s="1"/>
  <c r="AD63" i="4451" s="1"/>
  <c r="AG4" i="4451"/>
  <c r="AG5" i="4451"/>
  <c r="AG6" i="4451"/>
  <c r="AG7" i="4451"/>
  <c r="AG8" i="4451"/>
  <c r="AG9" i="4451"/>
  <c r="AG10" i="4451"/>
  <c r="AG11" i="4451"/>
  <c r="AG12" i="4451"/>
  <c r="AG13" i="4451"/>
  <c r="AG14" i="4451"/>
  <c r="AG15" i="4451"/>
  <c r="AG16" i="4451"/>
  <c r="AG17" i="4451"/>
  <c r="AG18" i="4451"/>
  <c r="AG19" i="4451"/>
  <c r="AG24" i="4451"/>
  <c r="AG25" i="4451"/>
  <c r="AG26" i="4451"/>
  <c r="AG27" i="4451"/>
  <c r="AG28" i="4451"/>
  <c r="AG29" i="4451"/>
  <c r="AG30" i="4451"/>
  <c r="AG31" i="4451"/>
  <c r="AG32" i="4451"/>
  <c r="AG33" i="4451"/>
  <c r="AG48" i="4451"/>
  <c r="D31" i="4450"/>
  <c r="H31" i="4450"/>
  <c r="L31" i="4450"/>
  <c r="R31" i="4450"/>
  <c r="V31" i="4450"/>
  <c r="AB31" i="4450"/>
  <c r="C31" i="4450"/>
  <c r="E31" i="4450"/>
  <c r="G31" i="4450"/>
  <c r="I31" i="4450"/>
  <c r="K31" i="4450"/>
  <c r="O31" i="4450"/>
  <c r="Q31" i="4450"/>
  <c r="S31" i="4450"/>
  <c r="U31" i="4450"/>
  <c r="W31" i="4450"/>
  <c r="Y31" i="4450"/>
  <c r="AA31" i="4450"/>
  <c r="E42" i="4451"/>
  <c r="G42" i="4451"/>
  <c r="U42" i="4451"/>
  <c r="Y42" i="4451"/>
  <c r="I43" i="4451"/>
  <c r="K43" i="4451"/>
  <c r="K63" i="4451" s="1"/>
  <c r="F31" i="4450"/>
  <c r="J31" i="4450"/>
  <c r="N31" i="4450"/>
  <c r="P31" i="4450"/>
  <c r="T31" i="4450"/>
  <c r="X31" i="4450"/>
  <c r="Z31" i="4450"/>
  <c r="D42" i="4451"/>
  <c r="F42" i="4451"/>
  <c r="J42" i="4451"/>
  <c r="M42" i="4451"/>
  <c r="R42" i="4451"/>
  <c r="V42" i="4451"/>
  <c r="D43" i="4451"/>
  <c r="F43" i="4451"/>
  <c r="H43" i="4451"/>
  <c r="J43" i="4451"/>
  <c r="C22" i="4449"/>
  <c r="D30" i="4449"/>
  <c r="D31" i="4449" s="1"/>
  <c r="F30" i="4449"/>
  <c r="F31" i="4449" s="1"/>
  <c r="H30" i="4449"/>
  <c r="H31" i="4449" s="1"/>
  <c r="J30" i="4449"/>
  <c r="L30" i="4449"/>
  <c r="L31" i="4449" s="1"/>
  <c r="N30" i="4449"/>
  <c r="N31" i="4449" s="1"/>
  <c r="AG2" i="4451"/>
  <c r="AG20" i="4451" s="1"/>
  <c r="AG3" i="4451"/>
  <c r="L43" i="4451"/>
  <c r="P43" i="4451"/>
  <c r="P63" i="4451" s="1"/>
  <c r="S43" i="4451"/>
  <c r="V43" i="4451"/>
  <c r="V63" i="4451" s="1"/>
  <c r="AA43" i="4451"/>
  <c r="AA63" i="4451" s="1"/>
  <c r="AC43" i="4451"/>
  <c r="AE43" i="4451"/>
  <c r="AE63" i="4451" s="1"/>
  <c r="AG23" i="4451"/>
  <c r="I42" i="4451"/>
  <c r="I44" i="4451" s="1"/>
  <c r="K42" i="4451"/>
  <c r="K62" i="4451" s="1"/>
  <c r="Q42" i="4451"/>
  <c r="S42" i="4451"/>
  <c r="W42" i="4451"/>
  <c r="AA42" i="4451"/>
  <c r="AC42" i="4451"/>
  <c r="AC44" i="4451" s="1"/>
  <c r="AE42" i="4451"/>
  <c r="R43" i="4451"/>
  <c r="Y43" i="4451"/>
  <c r="E59" i="4451"/>
  <c r="G59" i="4451"/>
  <c r="L59" i="4451"/>
  <c r="O59" i="4451"/>
  <c r="U59" i="4451"/>
  <c r="Y59" i="4451"/>
  <c r="I63" i="4451"/>
  <c r="P61" i="4451"/>
  <c r="W61" i="4451"/>
  <c r="Z61" i="4451"/>
  <c r="AB61" i="4451"/>
  <c r="AD61" i="4451"/>
  <c r="AF61" i="4451"/>
  <c r="U9" i="4452"/>
  <c r="M27" i="4452"/>
  <c r="U27" i="4452"/>
  <c r="M39" i="4452"/>
  <c r="U39" i="4452"/>
  <c r="M55" i="4452"/>
  <c r="M56" i="4452"/>
  <c r="M69" i="4452"/>
  <c r="V81" i="4452"/>
  <c r="V87" i="4452"/>
  <c r="V93" i="4452"/>
  <c r="AG49" i="4451"/>
  <c r="O25" i="4449"/>
  <c r="O26" i="4449"/>
  <c r="C30" i="4449"/>
  <c r="E30" i="4449"/>
  <c r="E31" i="4449" s="1"/>
  <c r="G30" i="4449"/>
  <c r="G31" i="4449" s="1"/>
  <c r="I30" i="4449"/>
  <c r="I31" i="4449" s="1"/>
  <c r="M30" i="4449"/>
  <c r="M31" i="4449" s="1"/>
  <c r="AG50" i="4451"/>
  <c r="AC25" i="4450"/>
  <c r="AG22" i="4451"/>
  <c r="AG40" i="4451" s="1"/>
  <c r="AG42" i="4451" s="1"/>
  <c r="Q43" i="4451"/>
  <c r="Q63" i="4451" s="1"/>
  <c r="W43" i="4451"/>
  <c r="W63" i="4451" s="1"/>
  <c r="AB43" i="4451"/>
  <c r="AB63" i="4451" s="1"/>
  <c r="AF43" i="4451"/>
  <c r="AF63" i="4451" s="1"/>
  <c r="H42" i="4451"/>
  <c r="H44" i="4451" s="1"/>
  <c r="N42" i="4451"/>
  <c r="P42" i="4451"/>
  <c r="T42" i="4451"/>
  <c r="T62" i="4451" s="1"/>
  <c r="X42" i="4451"/>
  <c r="Z42" i="4451"/>
  <c r="AB42" i="4451"/>
  <c r="AD42" i="4451"/>
  <c r="AF42" i="4451"/>
  <c r="U43" i="4451"/>
  <c r="D59" i="4451"/>
  <c r="F59" i="4451"/>
  <c r="J59" i="4451"/>
  <c r="M59" i="4451"/>
  <c r="V59" i="4451"/>
  <c r="D63" i="4451"/>
  <c r="H63" i="4451"/>
  <c r="L63" i="4451"/>
  <c r="Q61" i="4451"/>
  <c r="T61" i="4451"/>
  <c r="AA61" i="4451"/>
  <c r="AE61" i="4451"/>
  <c r="U15" i="4452"/>
  <c r="V15" i="4452" s="1"/>
  <c r="M21" i="4452"/>
  <c r="U21" i="4452"/>
  <c r="M33" i="4452"/>
  <c r="U33" i="4452"/>
  <c r="V33" i="4452" s="1"/>
  <c r="U45" i="4452"/>
  <c r="U54" i="4452"/>
  <c r="M63" i="4452"/>
  <c r="U63" i="4452"/>
  <c r="V63" i="4452" s="1"/>
  <c r="U69" i="4452"/>
  <c r="V69" i="4452" s="1"/>
  <c r="M99" i="4452"/>
  <c r="V99" i="4452"/>
  <c r="U102" i="4452"/>
  <c r="M104" i="4452"/>
  <c r="AG46" i="4451"/>
  <c r="I61" i="4451"/>
  <c r="K61" i="4451"/>
  <c r="D9" i="4452"/>
  <c r="M9" i="4452" s="1"/>
  <c r="U12" i="4452"/>
  <c r="M25" i="4452"/>
  <c r="M37" i="4452"/>
  <c r="D45" i="4452"/>
  <c r="M45" i="4452" s="1"/>
  <c r="Q51" i="4452"/>
  <c r="Q57" i="4452" s="1"/>
  <c r="Q107" i="4452" s="1"/>
  <c r="Q109" i="4452" s="1"/>
  <c r="P54" i="4452"/>
  <c r="B57" i="4452"/>
  <c r="N57" i="4452"/>
  <c r="U60" i="4452"/>
  <c r="M61" i="4452"/>
  <c r="U66" i="4452"/>
  <c r="M67" i="4452"/>
  <c r="M68" i="4452"/>
  <c r="L102" i="4452"/>
  <c r="L105" i="4452" s="1"/>
  <c r="P102" i="4452"/>
  <c r="P105" i="4452" s="1"/>
  <c r="D103" i="4452"/>
  <c r="M103" i="4452" s="1"/>
  <c r="B105" i="4452"/>
  <c r="N105" i="4452"/>
  <c r="U105" i="4452" s="1"/>
  <c r="AG45" i="4451"/>
  <c r="H61" i="4451"/>
  <c r="H64" i="4451" s="1"/>
  <c r="N61" i="4451"/>
  <c r="Q75" i="4452"/>
  <c r="U75" i="4452" s="1"/>
  <c r="M97" i="4452"/>
  <c r="AG59" i="4451" l="1"/>
  <c r="AG61" i="4451" s="1"/>
  <c r="X44" i="4451"/>
  <c r="V75" i="4452"/>
  <c r="AG60" i="4451"/>
  <c r="V21" i="4452"/>
  <c r="S44" i="4451"/>
  <c r="N44" i="4451"/>
  <c r="M44" i="4451"/>
  <c r="R62" i="4451"/>
  <c r="J31" i="4449"/>
  <c r="O22" i="4449"/>
  <c r="T43" i="4451"/>
  <c r="T63" i="4451" s="1"/>
  <c r="N64" i="4451"/>
  <c r="I64" i="4451"/>
  <c r="N62" i="4451"/>
  <c r="AC63" i="4451"/>
  <c r="X63" i="4451"/>
  <c r="S64" i="4451"/>
  <c r="N63" i="4451"/>
  <c r="J63" i="4451"/>
  <c r="F63" i="4451"/>
  <c r="L15" i="4461"/>
  <c r="P3" i="4461"/>
  <c r="N15" i="4461" s="1"/>
  <c r="P15" i="4461" s="1"/>
  <c r="R15" i="4461" s="1"/>
  <c r="T15" i="4461" s="1"/>
  <c r="L15" i="4460"/>
  <c r="P3" i="4460"/>
  <c r="N15" i="4460" s="1"/>
  <c r="P15" i="4460" s="1"/>
  <c r="R15" i="4460" s="1"/>
  <c r="T15" i="4460" s="1"/>
  <c r="M15" i="4461"/>
  <c r="Q3" i="4461"/>
  <c r="O15" i="4461" s="1"/>
  <c r="Q15" i="4461" s="1"/>
  <c r="S15" i="4461" s="1"/>
  <c r="U15" i="4461" s="1"/>
  <c r="M15" i="4460"/>
  <c r="Q3" i="4460"/>
  <c r="O15" i="4460" s="1"/>
  <c r="Q15" i="4460" s="1"/>
  <c r="S15" i="4460" s="1"/>
  <c r="U15" i="4460" s="1"/>
  <c r="AD44" i="4451"/>
  <c r="AD64" i="4451" s="1"/>
  <c r="Z44" i="4451"/>
  <c r="T44" i="4451"/>
  <c r="T64" i="4451" s="1"/>
  <c r="AC61" i="4451"/>
  <c r="AC64" i="4451" s="1"/>
  <c r="X61" i="4451"/>
  <c r="X64" i="4451" s="1"/>
  <c r="I62" i="4451"/>
  <c r="S63" i="4451"/>
  <c r="AF44" i="4451"/>
  <c r="AF64" i="4451" s="1"/>
  <c r="AB44" i="4451"/>
  <c r="P44" i="4451"/>
  <c r="P64" i="4451" s="1"/>
  <c r="AE44" i="4451"/>
  <c r="AE64" i="4451" s="1"/>
  <c r="AA44" i="4451"/>
  <c r="AA64" i="4451" s="1"/>
  <c r="K44" i="4451"/>
  <c r="K64" i="4451" s="1"/>
  <c r="AG41" i="4451"/>
  <c r="AG21" i="4451"/>
  <c r="AG62" i="4451"/>
  <c r="B107" i="4452"/>
  <c r="V61" i="4451"/>
  <c r="V62" i="4451"/>
  <c r="J62" i="4451"/>
  <c r="J61" i="4451"/>
  <c r="D62" i="4451"/>
  <c r="D61" i="4451"/>
  <c r="O30" i="4449"/>
  <c r="C31" i="4449"/>
  <c r="O31" i="4449" s="1"/>
  <c r="Y62" i="4451"/>
  <c r="Y61" i="4451"/>
  <c r="O62" i="4451"/>
  <c r="O61" i="4451"/>
  <c r="G62" i="4451"/>
  <c r="G61" i="4451"/>
  <c r="D105" i="4452"/>
  <c r="M105" i="4452" s="1"/>
  <c r="V105" i="4452" s="1"/>
  <c r="V45" i="4452"/>
  <c r="AB64" i="4451"/>
  <c r="H62" i="4451"/>
  <c r="R44" i="4451"/>
  <c r="R64" i="4451" s="1"/>
  <c r="J44" i="4451"/>
  <c r="D44" i="4451"/>
  <c r="U44" i="4451"/>
  <c r="L44" i="4451"/>
  <c r="E44" i="4451"/>
  <c r="N107" i="4452"/>
  <c r="N109" i="4452" s="1"/>
  <c r="P57" i="4452"/>
  <c r="P107" i="4452" s="1"/>
  <c r="P109" i="4452" s="1"/>
  <c r="M62" i="4451"/>
  <c r="M61" i="4451"/>
  <c r="F62" i="4451"/>
  <c r="F61" i="4451"/>
  <c r="V9" i="4452"/>
  <c r="U62" i="4451"/>
  <c r="U61" i="4451"/>
  <c r="L62" i="4451"/>
  <c r="L61" i="4451"/>
  <c r="L64" i="4451" s="1"/>
  <c r="E62" i="4451"/>
  <c r="E61" i="4451"/>
  <c r="D57" i="4452"/>
  <c r="D107" i="4452" s="1"/>
  <c r="D109" i="4452" s="1"/>
  <c r="M102" i="4452"/>
  <c r="U51" i="4452"/>
  <c r="V51" i="4452" s="1"/>
  <c r="V39" i="4452"/>
  <c r="V27" i="4452"/>
  <c r="Z64" i="4451"/>
  <c r="W44" i="4451"/>
  <c r="W64" i="4451" s="1"/>
  <c r="Q44" i="4451"/>
  <c r="Q64" i="4451" s="1"/>
  <c r="V44" i="4451"/>
  <c r="F44" i="4451"/>
  <c r="Y44" i="4451"/>
  <c r="O44" i="4451"/>
  <c r="G44" i="4451"/>
  <c r="M64" i="4451" l="1"/>
  <c r="AG43" i="4451"/>
  <c r="AG44" i="4451" s="1"/>
  <c r="AG64" i="4451" s="1"/>
  <c r="E64" i="4451"/>
  <c r="U64" i="4451"/>
  <c r="AG63" i="4451"/>
  <c r="U57" i="4452"/>
  <c r="U107" i="4452" s="1"/>
  <c r="U109" i="4452" s="1"/>
  <c r="V64" i="4451"/>
  <c r="V57" i="4452"/>
  <c r="V107" i="4452" s="1"/>
  <c r="F64" i="4451"/>
  <c r="G64" i="4451"/>
  <c r="O64" i="4451"/>
  <c r="Y64" i="4451"/>
  <c r="D64" i="4451"/>
  <c r="J64" i="4451"/>
  <c r="M57" i="4452"/>
  <c r="M107" i="4452" s="1"/>
  <c r="M109" i="4452" s="1"/>
  <c r="E13" i="4446" l="1"/>
  <c r="E14" i="4446"/>
  <c r="E15" i="4446"/>
  <c r="E16" i="4446"/>
  <c r="G16" i="4446" l="1"/>
  <c r="G15" i="4446"/>
  <c r="C12" i="4445" l="1"/>
  <c r="E12" i="4445"/>
  <c r="I12" i="4445"/>
  <c r="K12" i="4445"/>
  <c r="G12" i="4445"/>
  <c r="M12" i="4445"/>
  <c r="G13" i="4445"/>
  <c r="C13" i="4445"/>
  <c r="E13" i="4445"/>
  <c r="K13" i="4445"/>
  <c r="I13" i="4445"/>
  <c r="M13" i="4445"/>
  <c r="O14" i="4445"/>
  <c r="C14" i="4445"/>
  <c r="M14" i="4445"/>
  <c r="G14" i="4445"/>
  <c r="I14" i="4445"/>
  <c r="E14" i="4445"/>
  <c r="K14" i="4445"/>
  <c r="Q29" i="4444"/>
  <c r="O29" i="4444"/>
  <c r="M29" i="4444"/>
  <c r="Q11" i="4444"/>
  <c r="O11" i="4444"/>
  <c r="M11" i="4444"/>
  <c r="Q18" i="4444"/>
  <c r="O18" i="4444"/>
  <c r="M18" i="4444"/>
  <c r="K32" i="4441" l="1"/>
  <c r="J32" i="4441"/>
  <c r="H32" i="4441"/>
  <c r="G32" i="4441"/>
  <c r="E32" i="4441"/>
  <c r="D32" i="4441"/>
  <c r="F32" i="4441" l="1"/>
  <c r="I32" i="4441"/>
  <c r="L32" i="4441"/>
  <c r="B34" i="124"/>
  <c r="P13" i="4445" l="1"/>
  <c r="P14" i="4445"/>
  <c r="P15" i="4445"/>
  <c r="D17" i="4446" l="1"/>
  <c r="C17" i="4446"/>
  <c r="B17" i="4446"/>
  <c r="Q13" i="4445"/>
  <c r="Q14" i="4445"/>
  <c r="Q15" i="4445"/>
  <c r="N16" i="4445"/>
  <c r="L16" i="4445"/>
  <c r="J16" i="4445"/>
  <c r="H16" i="4445"/>
  <c r="F16" i="4445"/>
  <c r="D16" i="4445"/>
  <c r="B16" i="4445"/>
  <c r="K7" i="2" l="1"/>
  <c r="O9" i="4445" l="1"/>
  <c r="I9" i="4445"/>
  <c r="E9" i="4445"/>
  <c r="K9" i="4445"/>
  <c r="C9" i="4445"/>
  <c r="G9" i="4445"/>
  <c r="I10" i="4445"/>
  <c r="C10" i="4445"/>
  <c r="E10" i="4445"/>
  <c r="K10" i="4445"/>
  <c r="C11" i="4445"/>
  <c r="E11" i="4445"/>
  <c r="I11" i="4445"/>
  <c r="G10" i="4445"/>
  <c r="Q10" i="4445" s="1"/>
  <c r="M10" i="4445"/>
  <c r="K11" i="4445"/>
  <c r="G11" i="4445"/>
  <c r="F12" i="4446"/>
  <c r="F17" i="4446" s="1"/>
  <c r="P10" i="4445"/>
  <c r="P11" i="4445"/>
  <c r="Q11" i="4445"/>
  <c r="P12" i="4445"/>
  <c r="Q12" i="4445" l="1"/>
  <c r="K33" i="4443"/>
  <c r="H33" i="4443"/>
  <c r="C8" i="4445"/>
  <c r="E8" i="4445"/>
  <c r="G8" i="4445"/>
  <c r="I8" i="4445"/>
  <c r="K8" i="4445"/>
  <c r="M8" i="4445"/>
  <c r="O8" i="4445"/>
  <c r="B7" i="124"/>
  <c r="C6" i="4440"/>
  <c r="B8" i="124" s="1"/>
  <c r="C21" i="200"/>
  <c r="C23" i="200" s="1"/>
  <c r="C8" i="3"/>
  <c r="B5" i="124" s="1"/>
  <c r="D41" i="2"/>
  <c r="C41" i="2"/>
  <c r="E40" i="2"/>
  <c r="E39" i="2"/>
  <c r="E38" i="2"/>
  <c r="E37" i="2"/>
  <c r="E36" i="2"/>
  <c r="E35" i="2"/>
  <c r="E34" i="2"/>
  <c r="E33" i="2"/>
  <c r="D31" i="2"/>
  <c r="C31" i="2"/>
  <c r="E30" i="2"/>
  <c r="E29" i="2"/>
  <c r="E28" i="2"/>
  <c r="E27" i="2"/>
  <c r="E26" i="2"/>
  <c r="E25" i="2"/>
  <c r="E24" i="2"/>
  <c r="E23" i="2"/>
  <c r="E22" i="2"/>
  <c r="E21" i="2"/>
  <c r="D20" i="2"/>
  <c r="C20" i="2"/>
  <c r="E19" i="2"/>
  <c r="E18" i="2"/>
  <c r="E17" i="2"/>
  <c r="E16" i="2"/>
  <c r="E15" i="2"/>
  <c r="E14" i="2"/>
  <c r="E13" i="2"/>
  <c r="E12" i="2"/>
  <c r="E11" i="2"/>
  <c r="E10" i="2"/>
  <c r="E9" i="2"/>
  <c r="E8" i="2"/>
  <c r="E6" i="2"/>
  <c r="E5" i="2"/>
  <c r="E4" i="2"/>
  <c r="E3" i="2"/>
  <c r="B40" i="124"/>
  <c r="B39" i="124"/>
  <c r="B38" i="124"/>
  <c r="B37" i="124"/>
  <c r="B33" i="124"/>
  <c r="B32" i="124"/>
  <c r="B28" i="124"/>
  <c r="B30" i="124"/>
  <c r="B29" i="124"/>
  <c r="B27" i="124"/>
  <c r="B26" i="124"/>
  <c r="B25" i="124"/>
  <c r="B24" i="124"/>
  <c r="B22" i="124"/>
  <c r="B21" i="124"/>
  <c r="B20" i="124"/>
  <c r="B19" i="124"/>
  <c r="B18" i="124"/>
  <c r="B17" i="124"/>
  <c r="B16" i="124"/>
  <c r="B15" i="124"/>
  <c r="B14" i="124"/>
  <c r="B13" i="124"/>
  <c r="E31" i="2" l="1"/>
  <c r="B3" i="124" s="1"/>
  <c r="E41" i="2"/>
  <c r="B4" i="124" s="1"/>
  <c r="E20" i="2"/>
  <c r="B2" i="124" s="1"/>
  <c r="C32" i="2"/>
  <c r="C42" i="2" s="1"/>
  <c r="D32" i="2"/>
  <c r="D42" i="2" s="1"/>
  <c r="B6" i="124"/>
  <c r="E32" i="2"/>
  <c r="E42" i="2" l="1"/>
  <c r="B10" i="124"/>
  <c r="E23" i="1"/>
  <c r="E22" i="1"/>
  <c r="E21" i="1"/>
  <c r="E20" i="1"/>
  <c r="E19" i="1"/>
  <c r="E18" i="1"/>
  <c r="E17" i="1"/>
  <c r="E16" i="1"/>
  <c r="E15" i="1"/>
  <c r="E14" i="1"/>
  <c r="E13" i="1"/>
  <c r="E12" i="1"/>
  <c r="E10" i="1"/>
  <c r="E9" i="1"/>
  <c r="E8" i="1"/>
  <c r="E7" i="1"/>
  <c r="E6" i="1"/>
  <c r="E5" i="1"/>
  <c r="E4" i="1"/>
  <c r="D24" i="1"/>
  <c r="D27" i="1" s="1"/>
  <c r="C24" i="1"/>
  <c r="D3" i="1"/>
  <c r="C3" i="1"/>
  <c r="B12" i="124" s="1"/>
  <c r="E3" i="1" l="1"/>
  <c r="B23" i="124"/>
  <c r="B31" i="124" s="1"/>
  <c r="E24" i="1"/>
  <c r="E27" i="1" s="1"/>
  <c r="C27" i="1"/>
  <c r="E4" i="4445"/>
  <c r="I4" i="4445"/>
  <c r="C4" i="4445"/>
  <c r="G4" i="4445"/>
  <c r="K4" i="4445"/>
  <c r="M4" i="4445"/>
  <c r="O4" i="4445"/>
  <c r="M16" i="4445" l="1"/>
  <c r="B41" i="124"/>
  <c r="B43" i="124" s="1"/>
  <c r="C5" i="4445"/>
  <c r="I5" i="4445"/>
  <c r="I16" i="4445" s="1"/>
  <c r="E5" i="4445"/>
  <c r="E16" i="4445" s="1"/>
  <c r="K5" i="4445"/>
  <c r="K16" i="4445" s="1"/>
  <c r="G5" i="4445"/>
  <c r="M5" i="4445"/>
  <c r="O5" i="4445"/>
  <c r="O16" i="4445" s="1"/>
  <c r="I6" i="4445"/>
  <c r="E6" i="4445"/>
  <c r="C6" i="4445"/>
  <c r="C16" i="4445" s="1"/>
  <c r="K6" i="4445"/>
  <c r="M6" i="4445"/>
  <c r="G6" i="4445"/>
  <c r="O6" i="4445"/>
  <c r="O7" i="4445"/>
  <c r="E7" i="4445"/>
  <c r="I7" i="4445"/>
  <c r="C7" i="4445"/>
  <c r="G7" i="4445"/>
  <c r="G16" i="4445" s="1"/>
  <c r="K7" i="4445"/>
  <c r="M7" i="4445"/>
  <c r="G14" i="4446" l="1"/>
  <c r="G13" i="4446"/>
  <c r="E12" i="4446"/>
  <c r="G12" i="4446" s="1"/>
  <c r="E11" i="4446"/>
  <c r="G11" i="4446" s="1"/>
  <c r="E10" i="4446"/>
  <c r="G10" i="4446" s="1"/>
  <c r="E9" i="4446"/>
  <c r="G9" i="4446" s="1"/>
  <c r="E8" i="4446"/>
  <c r="G8" i="4446" s="1"/>
  <c r="E7" i="4446"/>
  <c r="G7" i="4446" s="1"/>
  <c r="E6" i="4446"/>
  <c r="G6" i="4446" s="1"/>
  <c r="E5" i="4446"/>
  <c r="G5" i="4446" s="1"/>
  <c r="E4" i="4446"/>
  <c r="G4" i="4446" s="1"/>
  <c r="E3" i="4446"/>
  <c r="Q9" i="4445"/>
  <c r="P9" i="4445"/>
  <c r="P8" i="4445"/>
  <c r="Q8" i="4445"/>
  <c r="P7" i="4445"/>
  <c r="Q7" i="4445"/>
  <c r="P6" i="4445"/>
  <c r="Q6" i="4445"/>
  <c r="P5" i="4445"/>
  <c r="Q5" i="4445"/>
  <c r="I40" i="4444"/>
  <c r="J40" i="4444" s="1"/>
  <c r="F40" i="4444"/>
  <c r="G40" i="4444" s="1"/>
  <c r="C40" i="4444"/>
  <c r="D40" i="4444" s="1"/>
  <c r="I38" i="4444"/>
  <c r="J38" i="4444" s="1"/>
  <c r="F38" i="4444"/>
  <c r="G38" i="4444" s="1"/>
  <c r="C38" i="4444"/>
  <c r="D38" i="4444" s="1"/>
  <c r="P34" i="4444"/>
  <c r="N34" i="4444"/>
  <c r="L34" i="4444"/>
  <c r="H34" i="4444"/>
  <c r="E34" i="4444"/>
  <c r="B34" i="4444"/>
  <c r="I33" i="4444"/>
  <c r="J33" i="4444" s="1"/>
  <c r="F33" i="4444"/>
  <c r="G33" i="4444" s="1"/>
  <c r="C33" i="4444"/>
  <c r="D33" i="4444" s="1"/>
  <c r="I32" i="4444"/>
  <c r="J32" i="4444" s="1"/>
  <c r="F32" i="4444"/>
  <c r="G32" i="4444" s="1"/>
  <c r="C32" i="4444"/>
  <c r="D32" i="4444" s="1"/>
  <c r="I31" i="4444"/>
  <c r="J31" i="4444" s="1"/>
  <c r="F31" i="4444"/>
  <c r="G31" i="4444" s="1"/>
  <c r="C31" i="4444"/>
  <c r="D31" i="4444" s="1"/>
  <c r="I30" i="4444"/>
  <c r="J30" i="4444" s="1"/>
  <c r="F30" i="4444"/>
  <c r="G30" i="4444" s="1"/>
  <c r="C30" i="4444"/>
  <c r="D30" i="4444" s="1"/>
  <c r="Q34" i="4444"/>
  <c r="F29" i="4444"/>
  <c r="G29" i="4444" s="1"/>
  <c r="M34" i="4444"/>
  <c r="I29" i="4444"/>
  <c r="J29" i="4444" s="1"/>
  <c r="C29" i="4444"/>
  <c r="D29" i="4444" s="1"/>
  <c r="I28" i="4444"/>
  <c r="J28" i="4444" s="1"/>
  <c r="F28" i="4444"/>
  <c r="G28" i="4444" s="1"/>
  <c r="C28" i="4444"/>
  <c r="D28" i="4444" s="1"/>
  <c r="I27" i="4444"/>
  <c r="J27" i="4444" s="1"/>
  <c r="F27" i="4444"/>
  <c r="G27" i="4444" s="1"/>
  <c r="C27" i="4444"/>
  <c r="D27" i="4444" s="1"/>
  <c r="I26" i="4444"/>
  <c r="J26" i="4444" s="1"/>
  <c r="F26" i="4444"/>
  <c r="G26" i="4444" s="1"/>
  <c r="C26" i="4444"/>
  <c r="D26" i="4444" s="1"/>
  <c r="I25" i="4444"/>
  <c r="J25" i="4444" s="1"/>
  <c r="F25" i="4444"/>
  <c r="G25" i="4444" s="1"/>
  <c r="C25" i="4444"/>
  <c r="D25" i="4444" s="1"/>
  <c r="I24" i="4444"/>
  <c r="J24" i="4444" s="1"/>
  <c r="F24" i="4444"/>
  <c r="C24" i="4444"/>
  <c r="P22" i="4444"/>
  <c r="N22" i="4444"/>
  <c r="L22" i="4444"/>
  <c r="H22" i="4444"/>
  <c r="H36" i="4444" s="1"/>
  <c r="E22" i="4444"/>
  <c r="E36" i="4444" s="1"/>
  <c r="B22" i="4444"/>
  <c r="I21" i="4444"/>
  <c r="J21" i="4444" s="1"/>
  <c r="F21" i="4444"/>
  <c r="G21" i="4444" s="1"/>
  <c r="C21" i="4444"/>
  <c r="D21" i="4444" s="1"/>
  <c r="I20" i="4444"/>
  <c r="J20" i="4444" s="1"/>
  <c r="F20" i="4444"/>
  <c r="G20" i="4444" s="1"/>
  <c r="C20" i="4444"/>
  <c r="D20" i="4444" s="1"/>
  <c r="I19" i="4444"/>
  <c r="J19" i="4444" s="1"/>
  <c r="F19" i="4444"/>
  <c r="G19" i="4444" s="1"/>
  <c r="C19" i="4444"/>
  <c r="D19" i="4444" s="1"/>
  <c r="I18" i="4444"/>
  <c r="J18" i="4444" s="1"/>
  <c r="F18" i="4444"/>
  <c r="G18" i="4444" s="1"/>
  <c r="C18" i="4444"/>
  <c r="D18" i="4444" s="1"/>
  <c r="I17" i="4444"/>
  <c r="J17" i="4444" s="1"/>
  <c r="F17" i="4444"/>
  <c r="G17" i="4444" s="1"/>
  <c r="C17" i="4444"/>
  <c r="D17" i="4444" s="1"/>
  <c r="I16" i="4444"/>
  <c r="J16" i="4444" s="1"/>
  <c r="F16" i="4444"/>
  <c r="G16" i="4444" s="1"/>
  <c r="C16" i="4444"/>
  <c r="D16" i="4444" s="1"/>
  <c r="I15" i="4444"/>
  <c r="J15" i="4444" s="1"/>
  <c r="F15" i="4444"/>
  <c r="G15" i="4444" s="1"/>
  <c r="C15" i="4444"/>
  <c r="D15" i="4444" s="1"/>
  <c r="I14" i="4444"/>
  <c r="J14" i="4444" s="1"/>
  <c r="F14" i="4444"/>
  <c r="G14" i="4444" s="1"/>
  <c r="C14" i="4444"/>
  <c r="D14" i="4444" s="1"/>
  <c r="I13" i="4444"/>
  <c r="J13" i="4444" s="1"/>
  <c r="F13" i="4444"/>
  <c r="G13" i="4444" s="1"/>
  <c r="C13" i="4444"/>
  <c r="D13" i="4444" s="1"/>
  <c r="I12" i="4444"/>
  <c r="J12" i="4444" s="1"/>
  <c r="F12" i="4444"/>
  <c r="G12" i="4444" s="1"/>
  <c r="C12" i="4444"/>
  <c r="D12" i="4444" s="1"/>
  <c r="Q22" i="4444"/>
  <c r="O22" i="4444"/>
  <c r="M22" i="4444"/>
  <c r="I11" i="4444"/>
  <c r="J11" i="4444" s="1"/>
  <c r="F11" i="4444"/>
  <c r="G11" i="4444" s="1"/>
  <c r="C11" i="4444"/>
  <c r="D11" i="4444" s="1"/>
  <c r="I10" i="4444"/>
  <c r="J10" i="4444" s="1"/>
  <c r="F10" i="4444"/>
  <c r="G10" i="4444" s="1"/>
  <c r="C10" i="4444"/>
  <c r="D10" i="4444" s="1"/>
  <c r="I9" i="4444"/>
  <c r="J9" i="4444" s="1"/>
  <c r="F9" i="4444"/>
  <c r="G9" i="4444" s="1"/>
  <c r="C9" i="4444"/>
  <c r="D9" i="4444" s="1"/>
  <c r="I8" i="4444"/>
  <c r="J8" i="4444" s="1"/>
  <c r="F8" i="4444"/>
  <c r="G8" i="4444" s="1"/>
  <c r="C8" i="4444"/>
  <c r="D8" i="4444" s="1"/>
  <c r="I7" i="4444"/>
  <c r="J7" i="4444" s="1"/>
  <c r="F7" i="4444"/>
  <c r="G7" i="4444" s="1"/>
  <c r="C7" i="4444"/>
  <c r="D7" i="4444" s="1"/>
  <c r="I6" i="4444"/>
  <c r="J6" i="4444" s="1"/>
  <c r="F6" i="4444"/>
  <c r="G6" i="4444" s="1"/>
  <c r="C6" i="4444"/>
  <c r="D6" i="4444" s="1"/>
  <c r="I5" i="4444"/>
  <c r="J5" i="4444" s="1"/>
  <c r="F5" i="4444"/>
  <c r="G5" i="4444" s="1"/>
  <c r="C5" i="4444"/>
  <c r="D5" i="4444" s="1"/>
  <c r="I4" i="4444"/>
  <c r="J4" i="4444" s="1"/>
  <c r="F4" i="4444"/>
  <c r="G4" i="4444" s="1"/>
  <c r="C4" i="4444"/>
  <c r="D4" i="4444" s="1"/>
  <c r="I3" i="4444"/>
  <c r="F3" i="4444"/>
  <c r="G3" i="4444" s="1"/>
  <c r="C3" i="4444"/>
  <c r="J33" i="4443"/>
  <c r="G33" i="4443"/>
  <c r="E33" i="4443"/>
  <c r="D33" i="4443"/>
  <c r="K30" i="4443"/>
  <c r="J30" i="4443"/>
  <c r="J35" i="4443" s="1"/>
  <c r="H30" i="4443"/>
  <c r="H35" i="4443" s="1"/>
  <c r="G30" i="4443"/>
  <c r="E30" i="4443"/>
  <c r="D30" i="4443"/>
  <c r="D35" i="4443" s="1"/>
  <c r="L28" i="4443"/>
  <c r="I28" i="4443"/>
  <c r="F28" i="4443"/>
  <c r="L27" i="4443"/>
  <c r="I27" i="4443"/>
  <c r="F27" i="4443"/>
  <c r="L26" i="4443"/>
  <c r="I26" i="4443"/>
  <c r="F26" i="4443"/>
  <c r="L25" i="4443"/>
  <c r="I25" i="4443"/>
  <c r="F25" i="4443"/>
  <c r="L23" i="4443"/>
  <c r="I23" i="4443"/>
  <c r="F23" i="4443"/>
  <c r="L21" i="4443"/>
  <c r="I21" i="4443"/>
  <c r="F21" i="4443"/>
  <c r="L19" i="4443"/>
  <c r="I19" i="4443"/>
  <c r="F19" i="4443"/>
  <c r="L18" i="4443"/>
  <c r="I18" i="4443"/>
  <c r="F18" i="4443"/>
  <c r="L17" i="4443"/>
  <c r="I17" i="4443"/>
  <c r="F17" i="4443"/>
  <c r="L16" i="4443"/>
  <c r="I16" i="4443"/>
  <c r="F16" i="4443"/>
  <c r="L15" i="4443"/>
  <c r="I15" i="4443"/>
  <c r="F15" i="4443"/>
  <c r="L13" i="4443"/>
  <c r="I13" i="4443"/>
  <c r="F13" i="4443"/>
  <c r="L12" i="4443"/>
  <c r="I12" i="4443"/>
  <c r="F12" i="4443"/>
  <c r="K33" i="4442"/>
  <c r="J33" i="4442"/>
  <c r="H33" i="4442"/>
  <c r="G33" i="4442"/>
  <c r="E33" i="4442"/>
  <c r="D33" i="4442"/>
  <c r="L32" i="4442"/>
  <c r="I32" i="4442"/>
  <c r="F32" i="4442"/>
  <c r="K30" i="4442"/>
  <c r="J30" i="4442"/>
  <c r="H30" i="4442"/>
  <c r="H35" i="4442" s="1"/>
  <c r="G30" i="4442"/>
  <c r="G35" i="4442" s="1"/>
  <c r="E30" i="4442"/>
  <c r="D30" i="4442"/>
  <c r="L26" i="4442"/>
  <c r="I26" i="4442"/>
  <c r="F26" i="4442"/>
  <c r="L25" i="4442"/>
  <c r="I25" i="4442"/>
  <c r="F25" i="4442"/>
  <c r="L24" i="4442"/>
  <c r="I24" i="4442"/>
  <c r="F24" i="4442"/>
  <c r="L23" i="4442"/>
  <c r="I23" i="4442"/>
  <c r="F23" i="4442"/>
  <c r="L22" i="4442"/>
  <c r="I22" i="4442"/>
  <c r="F22" i="4442"/>
  <c r="L21" i="4442"/>
  <c r="I21" i="4442"/>
  <c r="F21" i="4442"/>
  <c r="L20" i="4442"/>
  <c r="I20" i="4442"/>
  <c r="F20" i="4442"/>
  <c r="L19" i="4442"/>
  <c r="I19" i="4442"/>
  <c r="F19" i="4442"/>
  <c r="L18" i="4442"/>
  <c r="I18" i="4442"/>
  <c r="F18" i="4442"/>
  <c r="L15" i="4442"/>
  <c r="I15" i="4442"/>
  <c r="F15" i="4442"/>
  <c r="L14" i="4442"/>
  <c r="I14" i="4442"/>
  <c r="F14" i="4442"/>
  <c r="L13" i="4442"/>
  <c r="I13" i="4442"/>
  <c r="F13" i="4442"/>
  <c r="L12" i="4442"/>
  <c r="I12" i="4442"/>
  <c r="F12" i="4442"/>
  <c r="L11" i="4442"/>
  <c r="I11" i="4442"/>
  <c r="F11" i="4442"/>
  <c r="L10" i="4442"/>
  <c r="I10" i="4442"/>
  <c r="F10" i="4442"/>
  <c r="L9" i="4442"/>
  <c r="I9" i="4442"/>
  <c r="F9" i="4442"/>
  <c r="L8" i="4442"/>
  <c r="I8" i="4442"/>
  <c r="F8" i="4442"/>
  <c r="L7" i="4442"/>
  <c r="I7" i="4442"/>
  <c r="F7" i="4442"/>
  <c r="L6" i="4442"/>
  <c r="I6" i="4442"/>
  <c r="F6" i="4442"/>
  <c r="L5" i="4442"/>
  <c r="I5" i="4442"/>
  <c r="F5" i="4442"/>
  <c r="L4" i="4442"/>
  <c r="I4" i="4442"/>
  <c r="F4" i="4442"/>
  <c r="K28" i="4441"/>
  <c r="J28" i="4441"/>
  <c r="H28" i="4441"/>
  <c r="G28" i="4441"/>
  <c r="E28" i="4441"/>
  <c r="D28" i="4441"/>
  <c r="K27" i="4441"/>
  <c r="K33" i="4441" s="1"/>
  <c r="J27" i="4441"/>
  <c r="H27" i="4441"/>
  <c r="G27" i="4441"/>
  <c r="E27" i="4441"/>
  <c r="E33" i="4441" s="1"/>
  <c r="D27" i="4441"/>
  <c r="D33" i="4441" s="1"/>
  <c r="K26" i="4441"/>
  <c r="J26" i="4441"/>
  <c r="H26" i="4441"/>
  <c r="G26" i="4441"/>
  <c r="E26" i="4441"/>
  <c r="D26" i="4441"/>
  <c r="K25" i="4441"/>
  <c r="J25" i="4441"/>
  <c r="H25" i="4441"/>
  <c r="G25" i="4441"/>
  <c r="E25" i="4441"/>
  <c r="D25" i="4441"/>
  <c r="K24" i="4441"/>
  <c r="J24" i="4441"/>
  <c r="H24" i="4441"/>
  <c r="G24" i="4441"/>
  <c r="E24" i="4441"/>
  <c r="D24" i="4441"/>
  <c r="K23" i="4441"/>
  <c r="J23" i="4441"/>
  <c r="H23" i="4441"/>
  <c r="G23" i="4441"/>
  <c r="E23" i="4441"/>
  <c r="D23" i="4441"/>
  <c r="K22" i="4441"/>
  <c r="J22" i="4441"/>
  <c r="H22" i="4441"/>
  <c r="G22" i="4441"/>
  <c r="E22" i="4441"/>
  <c r="D22" i="4441"/>
  <c r="K21" i="4441"/>
  <c r="J21" i="4441"/>
  <c r="H21" i="4441"/>
  <c r="G21" i="4441"/>
  <c r="E21" i="4441"/>
  <c r="D21" i="4441"/>
  <c r="K20" i="4441"/>
  <c r="J20" i="4441"/>
  <c r="H20" i="4441"/>
  <c r="G20" i="4441"/>
  <c r="E20" i="4441"/>
  <c r="D20" i="4441"/>
  <c r="K19" i="4441"/>
  <c r="J19" i="4441"/>
  <c r="H19" i="4441"/>
  <c r="G19" i="4441"/>
  <c r="E19" i="4441"/>
  <c r="D19" i="4441"/>
  <c r="K18" i="4441"/>
  <c r="J18" i="4441"/>
  <c r="H18" i="4441"/>
  <c r="G18" i="4441"/>
  <c r="E18" i="4441"/>
  <c r="D18" i="4441"/>
  <c r="K17" i="4441"/>
  <c r="J17" i="4441"/>
  <c r="H17" i="4441"/>
  <c r="G17" i="4441"/>
  <c r="E17" i="4441"/>
  <c r="D17" i="4441"/>
  <c r="K16" i="4441"/>
  <c r="J16" i="4441"/>
  <c r="H16" i="4441"/>
  <c r="G16" i="4441"/>
  <c r="E16" i="4441"/>
  <c r="D16" i="4441"/>
  <c r="K15" i="4441"/>
  <c r="J15" i="4441"/>
  <c r="H15" i="4441"/>
  <c r="G15" i="4441"/>
  <c r="E15" i="4441"/>
  <c r="D15" i="4441"/>
  <c r="K14" i="4441"/>
  <c r="J14" i="4441"/>
  <c r="H14" i="4441"/>
  <c r="G14" i="4441"/>
  <c r="E14" i="4441"/>
  <c r="D14" i="4441"/>
  <c r="K13" i="4441"/>
  <c r="J13" i="4441"/>
  <c r="H13" i="4441"/>
  <c r="G13" i="4441"/>
  <c r="E13" i="4441"/>
  <c r="D13" i="4441"/>
  <c r="K12" i="4441"/>
  <c r="J12" i="4441"/>
  <c r="H12" i="4441"/>
  <c r="G12" i="4441"/>
  <c r="E12" i="4441"/>
  <c r="D12" i="4441"/>
  <c r="K11" i="4441"/>
  <c r="J11" i="4441"/>
  <c r="H11" i="4441"/>
  <c r="G11" i="4441"/>
  <c r="E11" i="4441"/>
  <c r="D11" i="4441"/>
  <c r="K10" i="4441"/>
  <c r="J10" i="4441"/>
  <c r="H10" i="4441"/>
  <c r="G10" i="4441"/>
  <c r="E10" i="4441"/>
  <c r="D10" i="4441"/>
  <c r="K9" i="4441"/>
  <c r="J9" i="4441"/>
  <c r="H9" i="4441"/>
  <c r="G9" i="4441"/>
  <c r="E9" i="4441"/>
  <c r="D9" i="4441"/>
  <c r="K8" i="4441"/>
  <c r="J8" i="4441"/>
  <c r="H8" i="4441"/>
  <c r="G8" i="4441"/>
  <c r="E8" i="4441"/>
  <c r="D8" i="4441"/>
  <c r="K7" i="4441"/>
  <c r="J7" i="4441"/>
  <c r="H7" i="4441"/>
  <c r="G7" i="4441"/>
  <c r="E7" i="4441"/>
  <c r="D7" i="4441"/>
  <c r="K6" i="4441"/>
  <c r="J6" i="4441"/>
  <c r="H6" i="4441"/>
  <c r="G6" i="4441"/>
  <c r="E6" i="4441"/>
  <c r="D6" i="4441"/>
  <c r="K5" i="4441"/>
  <c r="J5" i="4441"/>
  <c r="H5" i="4441"/>
  <c r="G5" i="4441"/>
  <c r="E5" i="4441"/>
  <c r="D5" i="4441"/>
  <c r="K4" i="4441"/>
  <c r="J4" i="4441"/>
  <c r="H4" i="4441"/>
  <c r="G4" i="4441"/>
  <c r="E4" i="4441"/>
  <c r="D4" i="4441"/>
  <c r="H33" i="4441" l="1"/>
  <c r="D35" i="4442"/>
  <c r="J35" i="4442"/>
  <c r="G35" i="4443"/>
  <c r="G3" i="4446"/>
  <c r="E17" i="4446"/>
  <c r="G33" i="4441"/>
  <c r="I33" i="4441" s="1"/>
  <c r="G17" i="4446"/>
  <c r="J33" i="4441"/>
  <c r="L33" i="4441" s="1"/>
  <c r="C34" i="4444"/>
  <c r="I34" i="4444"/>
  <c r="L4" i="4441"/>
  <c r="L5" i="4441"/>
  <c r="L6" i="4441"/>
  <c r="L7" i="4441"/>
  <c r="L8" i="4441"/>
  <c r="L9" i="4441"/>
  <c r="L10" i="4441"/>
  <c r="L11" i="4441"/>
  <c r="L12" i="4441"/>
  <c r="F34" i="4444"/>
  <c r="I22" i="4444"/>
  <c r="J22" i="4444" s="1"/>
  <c r="C22" i="4444"/>
  <c r="D22" i="4444" s="1"/>
  <c r="B36" i="4444"/>
  <c r="D24" i="4444"/>
  <c r="G24" i="4444"/>
  <c r="N36" i="4444"/>
  <c r="N42" i="4444" s="1"/>
  <c r="L36" i="4444"/>
  <c r="L42" i="4444" s="1"/>
  <c r="P36" i="4444"/>
  <c r="P42" i="4444" s="1"/>
  <c r="L28" i="4441"/>
  <c r="L30" i="4443"/>
  <c r="L33" i="4443"/>
  <c r="I17" i="4441"/>
  <c r="I18" i="4441"/>
  <c r="I19" i="4441"/>
  <c r="I20" i="4441"/>
  <c r="I28" i="4441"/>
  <c r="I33" i="4443"/>
  <c r="F28" i="4441"/>
  <c r="F12" i="4441"/>
  <c r="F18" i="4441"/>
  <c r="F19" i="4441"/>
  <c r="F33" i="4441"/>
  <c r="F30" i="4443"/>
  <c r="F33" i="4443"/>
  <c r="L13" i="4441"/>
  <c r="L15" i="4441"/>
  <c r="L17" i="4441"/>
  <c r="L24" i="4441"/>
  <c r="L26" i="4441"/>
  <c r="L14" i="4441"/>
  <c r="L16" i="4441"/>
  <c r="L18" i="4441"/>
  <c r="L19" i="4441"/>
  <c r="L20" i="4441"/>
  <c r="L21" i="4441"/>
  <c r="L22" i="4441"/>
  <c r="L23" i="4441"/>
  <c r="L25" i="4441"/>
  <c r="L30" i="4442"/>
  <c r="I14" i="4441"/>
  <c r="I16" i="4441"/>
  <c r="I23" i="4441"/>
  <c r="I25" i="4441"/>
  <c r="I4" i="4441"/>
  <c r="I5" i="4441"/>
  <c r="I6" i="4441"/>
  <c r="I7" i="4441"/>
  <c r="I8" i="4441"/>
  <c r="I9" i="4441"/>
  <c r="I10" i="4441"/>
  <c r="I11" i="4441"/>
  <c r="I12" i="4441"/>
  <c r="I13" i="4441"/>
  <c r="I15" i="4441"/>
  <c r="I21" i="4441"/>
  <c r="I22" i="4441"/>
  <c r="I24" i="4441"/>
  <c r="I26" i="4441"/>
  <c r="F13" i="4441"/>
  <c r="F15" i="4441"/>
  <c r="F17" i="4441"/>
  <c r="F24" i="4441"/>
  <c r="F26" i="4441"/>
  <c r="F4" i="4441"/>
  <c r="F5" i="4441"/>
  <c r="F6" i="4441"/>
  <c r="F7" i="4441"/>
  <c r="F8" i="4441"/>
  <c r="F9" i="4441"/>
  <c r="F10" i="4441"/>
  <c r="F11" i="4441"/>
  <c r="F14" i="4441"/>
  <c r="F16" i="4441"/>
  <c r="F20" i="4441"/>
  <c r="F21" i="4441"/>
  <c r="F22" i="4441"/>
  <c r="F23" i="4441"/>
  <c r="F25" i="4441"/>
  <c r="F30" i="4442"/>
  <c r="G34" i="4444"/>
  <c r="J34" i="4444"/>
  <c r="M36" i="4444"/>
  <c r="M42" i="4444" s="1"/>
  <c r="Q36" i="4444"/>
  <c r="Q42" i="4444" s="1"/>
  <c r="H3" i="4446"/>
  <c r="H4" i="4446" s="1"/>
  <c r="H5" i="4446" s="1"/>
  <c r="H6" i="4446" s="1"/>
  <c r="H7" i="4446" s="1"/>
  <c r="H8" i="4446" s="1"/>
  <c r="H9" i="4446" s="1"/>
  <c r="H10" i="4446" s="1"/>
  <c r="H11" i="4446" s="1"/>
  <c r="H12" i="4446" s="1"/>
  <c r="H13" i="4446" s="1"/>
  <c r="H14" i="4446" s="1"/>
  <c r="H15" i="4446" s="1"/>
  <c r="I35" i="4442"/>
  <c r="I35" i="4443"/>
  <c r="F27" i="4441"/>
  <c r="L27" i="4441"/>
  <c r="D30" i="4441"/>
  <c r="D35" i="4441" s="1"/>
  <c r="H30" i="4441"/>
  <c r="J30" i="4441"/>
  <c r="J35" i="4441" s="1"/>
  <c r="I30" i="4442"/>
  <c r="E35" i="4442"/>
  <c r="F35" i="4442" s="1"/>
  <c r="K35" i="4442"/>
  <c r="I30" i="4443"/>
  <c r="E35" i="4443"/>
  <c r="F35" i="4443" s="1"/>
  <c r="K35" i="4443"/>
  <c r="L35" i="4443" s="1"/>
  <c r="F22" i="4444"/>
  <c r="G22" i="4444" s="1"/>
  <c r="O34" i="4444"/>
  <c r="O36" i="4444" s="1"/>
  <c r="O42" i="4444" s="1"/>
  <c r="P4" i="4445"/>
  <c r="P16" i="4445" s="1"/>
  <c r="I27" i="4441"/>
  <c r="E30" i="4441"/>
  <c r="G30" i="4441"/>
  <c r="G35" i="4441" s="1"/>
  <c r="K30" i="4441"/>
  <c r="D3" i="4444"/>
  <c r="J3" i="4444"/>
  <c r="Q4" i="4445"/>
  <c r="Q16" i="4445" s="1"/>
  <c r="M21" i="1"/>
  <c r="K21" i="1"/>
  <c r="G19" i="1"/>
  <c r="H21" i="1"/>
  <c r="C36" i="124" s="1"/>
  <c r="D36" i="124"/>
  <c r="L35" i="4442" l="1"/>
  <c r="C36" i="4444"/>
  <c r="D36" i="4444" s="1"/>
  <c r="D34" i="4444"/>
  <c r="I36" i="4444"/>
  <c r="J36" i="4444" s="1"/>
  <c r="N21" i="1"/>
  <c r="H35" i="4441"/>
  <c r="I35" i="4441" s="1"/>
  <c r="I30" i="4441"/>
  <c r="F36" i="4444"/>
  <c r="G36" i="4444" s="1"/>
  <c r="K35" i="4441"/>
  <c r="L35" i="4441" s="1"/>
  <c r="L30" i="4441"/>
  <c r="E35" i="4441"/>
  <c r="F35" i="4441" s="1"/>
  <c r="F30" i="4441"/>
  <c r="E36" i="124"/>
  <c r="M20" i="1"/>
  <c r="J20" i="2"/>
  <c r="I20" i="2"/>
  <c r="F19" i="200"/>
  <c r="D35" i="124"/>
  <c r="C19" i="124"/>
  <c r="D19" i="124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2" i="1"/>
  <c r="K23" i="1"/>
  <c r="H6" i="1"/>
  <c r="H20" i="1"/>
  <c r="C35" i="124" s="1"/>
  <c r="N20" i="1" l="1"/>
  <c r="E35" i="124"/>
  <c r="K35" i="2"/>
  <c r="K10" i="2"/>
  <c r="H39" i="2"/>
  <c r="H40" i="2"/>
  <c r="L40" i="2"/>
  <c r="H34" i="2"/>
  <c r="L34" i="2"/>
  <c r="L36" i="2"/>
  <c r="L37" i="2"/>
  <c r="L38" i="2"/>
  <c r="F3" i="1"/>
  <c r="G3" i="1"/>
  <c r="K34" i="2" l="1"/>
  <c r="N34" i="2" s="1"/>
  <c r="F10" i="200" l="1"/>
  <c r="E21" i="200"/>
  <c r="D21" i="200"/>
  <c r="H9" i="2" l="1"/>
  <c r="H11" i="2"/>
  <c r="H12" i="2"/>
  <c r="H13" i="2"/>
  <c r="H14" i="2"/>
  <c r="H15" i="2"/>
  <c r="H16" i="2"/>
  <c r="H17" i="2"/>
  <c r="H18" i="2"/>
  <c r="H19" i="2"/>
  <c r="H6" i="2"/>
  <c r="H8" i="2"/>
  <c r="L6" i="2"/>
  <c r="H4" i="2"/>
  <c r="K4" i="2"/>
  <c r="J3" i="1" l="1"/>
  <c r="K6" i="2" l="1"/>
  <c r="N6" i="2" s="1"/>
  <c r="K8" i="2"/>
  <c r="I3" i="1" l="1"/>
  <c r="K19" i="2"/>
  <c r="G20" i="2"/>
  <c r="F20" i="2"/>
  <c r="N19" i="2"/>
  <c r="H10" i="1" l="1"/>
  <c r="L10" i="1"/>
  <c r="K22" i="2"/>
  <c r="E6" i="4440" l="1"/>
  <c r="E8" i="3"/>
  <c r="D24" i="124"/>
  <c r="K21" i="2"/>
  <c r="K14" i="2"/>
  <c r="F7" i="3"/>
  <c r="D12" i="124"/>
  <c r="D6" i="124"/>
  <c r="C33" i="124"/>
  <c r="L11" i="2"/>
  <c r="L5" i="2"/>
  <c r="H5" i="2"/>
  <c r="F24" i="1"/>
  <c r="H18" i="1"/>
  <c r="N18" i="1" s="1"/>
  <c r="D33" i="124"/>
  <c r="E33" i="124" s="1"/>
  <c r="K5" i="2"/>
  <c r="L33" i="2"/>
  <c r="H33" i="2"/>
  <c r="J41" i="2"/>
  <c r="I41" i="2"/>
  <c r="G41" i="2"/>
  <c r="F41" i="2"/>
  <c r="K40" i="2"/>
  <c r="N40" i="2" s="1"/>
  <c r="C18" i="124"/>
  <c r="D18" i="124"/>
  <c r="N10" i="1"/>
  <c r="L9" i="1"/>
  <c r="H9" i="1"/>
  <c r="F4" i="4440"/>
  <c r="K39" i="2"/>
  <c r="D23" i="124"/>
  <c r="K33" i="2"/>
  <c r="F3" i="4440"/>
  <c r="C26" i="124"/>
  <c r="K28" i="2"/>
  <c r="K26" i="2"/>
  <c r="D38" i="124"/>
  <c r="L29" i="2"/>
  <c r="K37" i="2"/>
  <c r="K38" i="2"/>
  <c r="D23" i="200"/>
  <c r="H36" i="2"/>
  <c r="H37" i="2"/>
  <c r="H38" i="2"/>
  <c r="K27" i="2"/>
  <c r="H27" i="2"/>
  <c r="N27" i="2" s="1"/>
  <c r="M27" i="2"/>
  <c r="L24" i="2"/>
  <c r="K24" i="2"/>
  <c r="H24" i="2"/>
  <c r="H31" i="2" s="1"/>
  <c r="C3" i="124" s="1"/>
  <c r="D6" i="4440"/>
  <c r="C8" i="124" s="1"/>
  <c r="F2" i="4440"/>
  <c r="D32" i="124"/>
  <c r="H17" i="1"/>
  <c r="C32" i="124" s="1"/>
  <c r="D34" i="124"/>
  <c r="D39" i="124"/>
  <c r="D40" i="124"/>
  <c r="C23" i="124"/>
  <c r="C12" i="124"/>
  <c r="H19" i="1"/>
  <c r="C34" i="124" s="1"/>
  <c r="H22" i="1"/>
  <c r="C37" i="124" s="1"/>
  <c r="H23" i="1"/>
  <c r="C38" i="124" s="1"/>
  <c r="C39" i="124"/>
  <c r="C40" i="124"/>
  <c r="D26" i="124"/>
  <c r="C25" i="124"/>
  <c r="C14" i="124"/>
  <c r="D14" i="124"/>
  <c r="D30" i="124"/>
  <c r="D21" i="124"/>
  <c r="E21" i="124" s="1"/>
  <c r="D22" i="124"/>
  <c r="C30" i="124"/>
  <c r="C29" i="124"/>
  <c r="C24" i="124"/>
  <c r="C27" i="124"/>
  <c r="C15" i="124"/>
  <c r="C16" i="124"/>
  <c r="C17" i="124"/>
  <c r="C20" i="124"/>
  <c r="C21" i="124"/>
  <c r="C22" i="124"/>
  <c r="C13" i="124"/>
  <c r="C7" i="124"/>
  <c r="E9" i="124"/>
  <c r="D16" i="124"/>
  <c r="E16" i="124" s="1"/>
  <c r="D17" i="124"/>
  <c r="E17" i="124" s="1"/>
  <c r="D15" i="124"/>
  <c r="D20" i="124"/>
  <c r="D7" i="124"/>
  <c r="E7" i="124" s="1"/>
  <c r="D25" i="124"/>
  <c r="H21" i="2"/>
  <c r="H23" i="2"/>
  <c r="H25" i="2"/>
  <c r="H26" i="2"/>
  <c r="N26" i="2" s="1"/>
  <c r="H28" i="2"/>
  <c r="H29" i="2"/>
  <c r="H30" i="2"/>
  <c r="H3" i="2"/>
  <c r="H20" i="2" s="1"/>
  <c r="D8" i="3"/>
  <c r="C5" i="124" s="1"/>
  <c r="C6" i="124"/>
  <c r="D37" i="124"/>
  <c r="K3" i="2"/>
  <c r="K9" i="2"/>
  <c r="K11" i="2"/>
  <c r="N11" i="2" s="1"/>
  <c r="K12" i="2"/>
  <c r="N12" i="2" s="1"/>
  <c r="K13" i="2"/>
  <c r="N13" i="2" s="1"/>
  <c r="K15" i="2"/>
  <c r="K16" i="2"/>
  <c r="K17" i="2"/>
  <c r="N17" i="2" s="1"/>
  <c r="K18" i="2"/>
  <c r="K23" i="2"/>
  <c r="K25" i="2"/>
  <c r="K29" i="2"/>
  <c r="K30" i="2"/>
  <c r="D29" i="124"/>
  <c r="L17" i="1"/>
  <c r="F27" i="1"/>
  <c r="G24" i="1"/>
  <c r="G27" i="1" s="1"/>
  <c r="N26" i="1"/>
  <c r="H5" i="1"/>
  <c r="L5" i="1"/>
  <c r="M5" i="1"/>
  <c r="K5" i="1"/>
  <c r="M22" i="1"/>
  <c r="N22" i="1"/>
  <c r="M16" i="1"/>
  <c r="H16" i="1"/>
  <c r="H7" i="1"/>
  <c r="M7" i="1"/>
  <c r="L7" i="1"/>
  <c r="H15" i="1"/>
  <c r="N15" i="1" s="1"/>
  <c r="H14" i="1"/>
  <c r="N14" i="1" s="1"/>
  <c r="H13" i="1"/>
  <c r="H12" i="1"/>
  <c r="H8" i="1"/>
  <c r="H4" i="1"/>
  <c r="H3" i="1"/>
  <c r="N19" i="1"/>
  <c r="N25" i="1"/>
  <c r="M15" i="1"/>
  <c r="M19" i="1"/>
  <c r="L8" i="1"/>
  <c r="L12" i="1"/>
  <c r="L13" i="1"/>
  <c r="L14" i="1"/>
  <c r="L12" i="2"/>
  <c r="J31" i="2"/>
  <c r="J32" i="2" s="1"/>
  <c r="J42" i="2" s="1"/>
  <c r="G31" i="2"/>
  <c r="F31" i="2"/>
  <c r="F32" i="2" s="1"/>
  <c r="F42" i="2" s="1"/>
  <c r="L20" i="2"/>
  <c r="L9" i="2"/>
  <c r="L15" i="2"/>
  <c r="N15" i="2"/>
  <c r="L17" i="2"/>
  <c r="G32" i="2"/>
  <c r="G42" i="2" s="1"/>
  <c r="H41" i="2"/>
  <c r="C4" i="124" s="1"/>
  <c r="L23" i="2"/>
  <c r="L26" i="2"/>
  <c r="M3" i="2"/>
  <c r="L3" i="2"/>
  <c r="F4" i="3"/>
  <c r="F3" i="3"/>
  <c r="F5" i="3"/>
  <c r="F6" i="3"/>
  <c r="F18" i="200"/>
  <c r="F22" i="200"/>
  <c r="F3" i="200"/>
  <c r="F6" i="200"/>
  <c r="F7" i="200"/>
  <c r="F8" i="200"/>
  <c r="F9" i="200"/>
  <c r="F11" i="200"/>
  <c r="F13" i="200"/>
  <c r="F14" i="200"/>
  <c r="F15" i="200"/>
  <c r="F16" i="200"/>
  <c r="F20" i="200"/>
  <c r="F2" i="200"/>
  <c r="E39" i="124"/>
  <c r="N29" i="2"/>
  <c r="N8" i="1"/>
  <c r="F4" i="200"/>
  <c r="I31" i="2"/>
  <c r="N7" i="1"/>
  <c r="D27" i="124"/>
  <c r="M23" i="1"/>
  <c r="K36" i="2"/>
  <c r="M20" i="2"/>
  <c r="L13" i="2"/>
  <c r="F12" i="200"/>
  <c r="F5" i="200"/>
  <c r="L4" i="1"/>
  <c r="N36" i="2" l="1"/>
  <c r="N5" i="1"/>
  <c r="N17" i="1"/>
  <c r="E29" i="124"/>
  <c r="H24" i="1"/>
  <c r="H27" i="1" s="1"/>
  <c r="N33" i="2"/>
  <c r="C31" i="124"/>
  <c r="C41" i="124" s="1"/>
  <c r="E27" i="124"/>
  <c r="K41" i="2"/>
  <c r="N24" i="2"/>
  <c r="E20" i="124"/>
  <c r="N12" i="1"/>
  <c r="E15" i="124"/>
  <c r="N5" i="2"/>
  <c r="N13" i="1"/>
  <c r="N38" i="2"/>
  <c r="N37" i="2"/>
  <c r="E18" i="124"/>
  <c r="N23" i="2"/>
  <c r="N9" i="1"/>
  <c r="C2" i="124"/>
  <c r="C10" i="124" s="1"/>
  <c r="N16" i="1"/>
  <c r="N23" i="1"/>
  <c r="E22" i="124"/>
  <c r="N3" i="2"/>
  <c r="K20" i="2"/>
  <c r="D2" i="124" s="1"/>
  <c r="H32" i="2"/>
  <c r="H42" i="2" s="1"/>
  <c r="M42" i="2"/>
  <c r="N9" i="2"/>
  <c r="L41" i="2"/>
  <c r="E14" i="124"/>
  <c r="E23" i="124"/>
  <c r="I32" i="2"/>
  <c r="I42" i="2" s="1"/>
  <c r="L42" i="2" s="1"/>
  <c r="M32" i="2"/>
  <c r="E40" i="124"/>
  <c r="E32" i="124"/>
  <c r="D4" i="124"/>
  <c r="E4" i="124" s="1"/>
  <c r="L31" i="2"/>
  <c r="E23" i="200"/>
  <c r="F23" i="200" s="1"/>
  <c r="J24" i="1"/>
  <c r="J27" i="1" s="1"/>
  <c r="M27" i="1" s="1"/>
  <c r="E25" i="124"/>
  <c r="F5" i="4440"/>
  <c r="E34" i="124"/>
  <c r="E6" i="124"/>
  <c r="E37" i="124"/>
  <c r="E30" i="124"/>
  <c r="E24" i="124"/>
  <c r="E38" i="124"/>
  <c r="N21" i="2"/>
  <c r="K31" i="2"/>
  <c r="L21" i="2"/>
  <c r="F21" i="200"/>
  <c r="F6" i="4440"/>
  <c r="D8" i="124"/>
  <c r="E8" i="124" s="1"/>
  <c r="D5" i="124"/>
  <c r="E5" i="124" s="1"/>
  <c r="F8" i="3"/>
  <c r="F2" i="3"/>
  <c r="M4" i="1"/>
  <c r="M3" i="1"/>
  <c r="K4" i="1"/>
  <c r="N4" i="1" s="1"/>
  <c r="I24" i="1"/>
  <c r="K3" i="1"/>
  <c r="N3" i="1" s="1"/>
  <c r="E12" i="124"/>
  <c r="D31" i="124"/>
  <c r="D13" i="124"/>
  <c r="E13" i="124" s="1"/>
  <c r="L3" i="1"/>
  <c r="K32" i="2" l="1"/>
  <c r="N32" i="2" s="1"/>
  <c r="E31" i="124"/>
  <c r="D41" i="124"/>
  <c r="E2" i="124"/>
  <c r="L32" i="2"/>
  <c r="C43" i="124"/>
  <c r="N20" i="2"/>
  <c r="N41" i="2"/>
  <c r="M24" i="1"/>
  <c r="K24" i="1"/>
  <c r="K27" i="1" s="1"/>
  <c r="N27" i="1" s="1"/>
  <c r="N31" i="2"/>
  <c r="D3" i="124"/>
  <c r="E3" i="124" s="1"/>
  <c r="L24" i="1"/>
  <c r="I27" i="1"/>
  <c r="L27" i="1" s="1"/>
  <c r="K42" i="2" l="1"/>
  <c r="N42" i="2" s="1"/>
  <c r="D10" i="124"/>
  <c r="E10" i="124" s="1"/>
  <c r="N24" i="1"/>
  <c r="E41" i="124"/>
  <c r="D43" i="124" l="1"/>
</calcChain>
</file>

<file path=xl/sharedStrings.xml><?xml version="1.0" encoding="utf-8"?>
<sst xmlns="http://schemas.openxmlformats.org/spreadsheetml/2006/main" count="1393" uniqueCount="718">
  <si>
    <t>Megnevezés</t>
  </si>
  <si>
    <t>OEP</t>
  </si>
  <si>
    <t>Saját</t>
  </si>
  <si>
    <t>Összesen</t>
  </si>
  <si>
    <t>Betegellátás bevételei összesen</t>
  </si>
  <si>
    <t>- Járóbetegellátás</t>
  </si>
  <si>
    <t>- Ügyeleti ellátás</t>
  </si>
  <si>
    <t>- Fogászat</t>
  </si>
  <si>
    <t>- Házi szakápolás</t>
  </si>
  <si>
    <t>- Védőnők</t>
  </si>
  <si>
    <t>- Iskola, ifjúsági egészségügy</t>
  </si>
  <si>
    <t>- Foglalkozás-egészségügy</t>
  </si>
  <si>
    <t>Bérleti díjak bevételei</t>
  </si>
  <si>
    <t>Továbbszámlázott szolgáltatások bevételei</t>
  </si>
  <si>
    <t>Egyéb bevételek (pl. pályázat, stb.)</t>
  </si>
  <si>
    <t>Saját bevételek összesen</t>
  </si>
  <si>
    <t>Önkormányzati támogatás</t>
  </si>
  <si>
    <t>Összes bevétel</t>
  </si>
  <si>
    <t>Teljes és Részmunkaidős</t>
  </si>
  <si>
    <t>További munkaviszony/ Megbízási szerződéses</t>
  </si>
  <si>
    <t>alapbér</t>
  </si>
  <si>
    <t>bérpótlékok</t>
  </si>
  <si>
    <t>keresetkiegészítés</t>
  </si>
  <si>
    <t>prémium keret</t>
  </si>
  <si>
    <t>jutalom</t>
  </si>
  <si>
    <t>jubileumi jutalom</t>
  </si>
  <si>
    <t>továbbképzési hozzájárulás</t>
  </si>
  <si>
    <t>betegszabadság</t>
  </si>
  <si>
    <t>ruházati költségtérítés</t>
  </si>
  <si>
    <t>közlekedési költségtérítés</t>
  </si>
  <si>
    <t>Személyi juttatások összesen</t>
  </si>
  <si>
    <t>Szakképzési hozzájárulás</t>
  </si>
  <si>
    <t>Rehabilitációs hozzájárulás</t>
  </si>
  <si>
    <t>Munkáltató által fizetett SZJA</t>
  </si>
  <si>
    <t>- takarítás</t>
  </si>
  <si>
    <t>- szemétszállítás</t>
  </si>
  <si>
    <t>Háziorvosi felnőtt és gyermekügyelet működtetése</t>
  </si>
  <si>
    <t>Közüzemi szolgáltatások igénybevétele (áram, gáz, távhő, víz-csatorna)</t>
  </si>
  <si>
    <t>Postai szolgáltatások</t>
  </si>
  <si>
    <t>Tanfolyamok, továbbképzések költségei</t>
  </si>
  <si>
    <t>Számlázott szellemi tevékenységek (ügyvéd, könyvvizsgáló, stb.)</t>
  </si>
  <si>
    <t>Rendezvények költségei</t>
  </si>
  <si>
    <t>- Labor</t>
  </si>
  <si>
    <t>- Egynapos sebészet</t>
  </si>
  <si>
    <t>végkielégítés, felmentési időre juttatás</t>
  </si>
  <si>
    <t>Közhasznú munkavállalók bérköltsége</t>
  </si>
  <si>
    <t>Személyi jellegű egyéb kifizetések</t>
  </si>
  <si>
    <t>Táppénz hozzájárulás</t>
  </si>
  <si>
    <t>Bérjárulékok összesen</t>
  </si>
  <si>
    <t>Személyi jellegű ráfordítás összesen</t>
  </si>
  <si>
    <t>Egészségügyi szakmai anyagok</t>
  </si>
  <si>
    <t>Gyógyszer felhasználás</t>
  </si>
  <si>
    <t>Irodaszer, nyomtatvány</t>
  </si>
  <si>
    <t>Műszaki anyagok felhasználása</t>
  </si>
  <si>
    <t>Munkaruha, védőruha</t>
  </si>
  <si>
    <t>Egyéb anyagköltség</t>
  </si>
  <si>
    <t>Igénybe veendő egészségügyi szolgáltatások</t>
  </si>
  <si>
    <t>Kommunikációs eszközök működtetése</t>
  </si>
  <si>
    <t>Műszaki, karbantartási, takarítási szolgáltatások</t>
  </si>
  <si>
    <t>Szakkönyv, folyóirat előfizetés</t>
  </si>
  <si>
    <t>Igénybe vett szolgáltatások értéke</t>
  </si>
  <si>
    <t>Eladott (közvetített) szolgáltatások értéke</t>
  </si>
  <si>
    <t>költségek (ráfordítások) ellentételezése (hgy)</t>
  </si>
  <si>
    <t>egyéb ki nem emelt ráfordítások</t>
  </si>
  <si>
    <t>Költségvetéssel elszámolt adók illetékek</t>
  </si>
  <si>
    <t>Bérköltség</t>
  </si>
  <si>
    <t>Személyi jellegű egyéb kifizetés</t>
  </si>
  <si>
    <t>Bérjárulék</t>
  </si>
  <si>
    <t>Anyagköltség</t>
  </si>
  <si>
    <t>Igénybe vett szolgáltatás</t>
  </si>
  <si>
    <t>Eladott (közvetített) szolgáltatás</t>
  </si>
  <si>
    <t>Egyéb ráfordítás</t>
  </si>
  <si>
    <t>Értékcsökkenés</t>
  </si>
  <si>
    <t>Összes kiadás</t>
  </si>
  <si>
    <t>OEP bevétel</t>
  </si>
  <si>
    <t>járóbeteg</t>
  </si>
  <si>
    <t>labor</t>
  </si>
  <si>
    <t>ügyelet</t>
  </si>
  <si>
    <t>fogászat</t>
  </si>
  <si>
    <t>házi szakápolás</t>
  </si>
  <si>
    <t>védőnő</t>
  </si>
  <si>
    <t>iskola, ifjúsági egészségügy</t>
  </si>
  <si>
    <t>Saját betegellátási bevétel</t>
  </si>
  <si>
    <t>foglalkozás-egészségügyi bevétel</t>
  </si>
  <si>
    <t>Betegellátás bevétel</t>
  </si>
  <si>
    <t>Bérleti díj bevétel</t>
  </si>
  <si>
    <t>Továbbszámlázott bevétel</t>
  </si>
  <si>
    <t>Egyéb nem eü bevétel</t>
  </si>
  <si>
    <t>Egyenleg</t>
  </si>
  <si>
    <t>- Menedzser szűrés (szűrővizsgálat)</t>
  </si>
  <si>
    <t>menedzserszűrés (szűrővizsgálat)</t>
  </si>
  <si>
    <t>reprezentáció, egyéb személyi jellegű kifizetés</t>
  </si>
  <si>
    <t>Egyéb igénybevett szakmai szolgáltatás (pályázat, tender, hirdetés)</t>
  </si>
  <si>
    <t>Egyéb szolgáltatások költségei (gépjármű műszaki, banki ktg, hatósági díj, vagyon és orvos felelőségbiztosítás)</t>
  </si>
  <si>
    <t>egynapos sebészet</t>
  </si>
  <si>
    <t>túlóra, helyettesítési, készenléti, ügyeleti díj</t>
  </si>
  <si>
    <t>Egynapos sebészeti jutalék</t>
  </si>
  <si>
    <t>- Sportorvos</t>
  </si>
  <si>
    <t>sportorvos</t>
  </si>
  <si>
    <t>Jogviszony ellenőrzés</t>
  </si>
  <si>
    <t>Szociális jellegű juttatások</t>
  </si>
  <si>
    <t>választott tisztségviselők díja (FB, ügyvezető ig.)</t>
  </si>
  <si>
    <t>Tárgyi eszköz értékesítés nettó kivezetés</t>
  </si>
  <si>
    <t>Bérbeadás SZJA</t>
  </si>
  <si>
    <t>Össz.</t>
  </si>
  <si>
    <t>-Fogászat (privatizált)</t>
  </si>
  <si>
    <t>fogászat (privatizált)</t>
  </si>
  <si>
    <t>cafetéria</t>
  </si>
  <si>
    <t>Reprezentáció</t>
  </si>
  <si>
    <t>Szociális hozzájárulási adó (Nyugdíjbiztosítási járulék)</t>
  </si>
  <si>
    <t>OEP bértámogatás</t>
  </si>
  <si>
    <t>- bérleti díj</t>
  </si>
  <si>
    <t>Informatikai szolgáltatások, rendszerkövetés, bérszámfejtés</t>
  </si>
  <si>
    <t>bérkompenzáció közhasznú munkavállalóknak</t>
  </si>
  <si>
    <t>OEP eseti keresetkiegésztés</t>
  </si>
  <si>
    <t>Védőnői bérlet</t>
  </si>
  <si>
    <t>kultúra utalvány</t>
  </si>
  <si>
    <t>munkaviszony megszűnése miatti bér</t>
  </si>
  <si>
    <t>ebből - veszélyes hulladék kezelése</t>
  </si>
  <si>
    <t>Szegedi út, Visegrádi u. Társasház közös költsége</t>
  </si>
  <si>
    <t>Egészségügyi hozzájárulás</t>
  </si>
  <si>
    <t>Egyszerűsített foglalkoztatásból eredő közteher</t>
  </si>
  <si>
    <t>2016 évi terv                                           (adatok e Ft-ban)</t>
  </si>
  <si>
    <t>2016 évi terv</t>
  </si>
  <si>
    <t>Házirovos praxisüzemeltetés</t>
  </si>
  <si>
    <t>Háziorvos praxisüzemeltetés</t>
  </si>
  <si>
    <t>Illetménykiegészítés 2014.11.01.-től (védőnő, iskolaorvos)</t>
  </si>
  <si>
    <t>EÜ dolgozók OEP bérkiegészítése</t>
  </si>
  <si>
    <t>OEP bértámogatás, EÜ dolg. bérkiegészítés</t>
  </si>
  <si>
    <t>házi szakorvos</t>
  </si>
  <si>
    <t>- Házi szakorvos</t>
  </si>
  <si>
    <t>Fogorvosi bérleti díj; praxisüzemeltetés</t>
  </si>
  <si>
    <t>Pénzforgalom nélküli egyéb bevétel</t>
  </si>
  <si>
    <t>Munkahely</t>
  </si>
  <si>
    <t>Jelentett esetszám</t>
  </si>
  <si>
    <t>Jelentett beavatkozásszám</t>
  </si>
  <si>
    <t>Jelentett pontszám</t>
  </si>
  <si>
    <t>Összesen.</t>
  </si>
  <si>
    <t>Összesen:</t>
  </si>
  <si>
    <t>trend</t>
  </si>
  <si>
    <t>Általános belgyógyászat</t>
  </si>
  <si>
    <t>Belgyógyászat-Diabetológia</t>
  </si>
  <si>
    <t>Gasztroenterológia</t>
  </si>
  <si>
    <t>Kardiológia</t>
  </si>
  <si>
    <t>Sebészet</t>
  </si>
  <si>
    <t>Traumatológia</t>
  </si>
  <si>
    <t>Proktológia</t>
  </si>
  <si>
    <t>Aneszteziológia</t>
  </si>
  <si>
    <t>Nőgyógyászat-terhesgond.</t>
  </si>
  <si>
    <t>Fül-orr - gégészet</t>
  </si>
  <si>
    <t>Audiológia</t>
  </si>
  <si>
    <t>Szemészet</t>
  </si>
  <si>
    <t>Bőrgyógyászat</t>
  </si>
  <si>
    <t>Allergológia</t>
  </si>
  <si>
    <t>Ideggyógyászat</t>
  </si>
  <si>
    <t>Elmegyógyászat</t>
  </si>
  <si>
    <t>Ortopédia</t>
  </si>
  <si>
    <t>Urológia</t>
  </si>
  <si>
    <t>Radiológia</t>
  </si>
  <si>
    <t>Reumatológia</t>
  </si>
  <si>
    <t>ODM-Menopausa</t>
  </si>
  <si>
    <t>Fizikotherapia</t>
  </si>
  <si>
    <t>Gyógytorna</t>
  </si>
  <si>
    <t>Fogászat (alapellátás)</t>
  </si>
  <si>
    <t>Fogászat (szakellátás)</t>
  </si>
  <si>
    <t>Összes szakrendelés</t>
  </si>
  <si>
    <t>Összes labor</t>
  </si>
  <si>
    <t>Összes fogászat</t>
  </si>
  <si>
    <t>összesen:</t>
  </si>
  <si>
    <t>Kardiológia-EKG</t>
  </si>
  <si>
    <t>összesen</t>
  </si>
  <si>
    <t>Esetszám</t>
  </si>
  <si>
    <t>Beavatkozások száma</t>
  </si>
  <si>
    <t>Pontszám</t>
  </si>
  <si>
    <t>eset</t>
  </si>
  <si>
    <t>beav</t>
  </si>
  <si>
    <t>pont</t>
  </si>
  <si>
    <t>%</t>
  </si>
  <si>
    <t>tény</t>
  </si>
  <si>
    <t>jel</t>
  </si>
  <si>
    <t>Belgyógyászat-diabetológia</t>
  </si>
  <si>
    <t>Fizikoterápia</t>
  </si>
  <si>
    <t>Fül-orr-gége</t>
  </si>
  <si>
    <t>Nőgyógyászat</t>
  </si>
  <si>
    <t>Reuma</t>
  </si>
  <si>
    <t>Röntgen</t>
  </si>
  <si>
    <t>Szegedi út összesen</t>
  </si>
  <si>
    <t>Visegrádi u. összesen</t>
  </si>
  <si>
    <t>Járóbeteg összesen</t>
  </si>
  <si>
    <t>Labor</t>
  </si>
  <si>
    <t>Fogászat</t>
  </si>
  <si>
    <t>Hónap</t>
  </si>
  <si>
    <t>Elvégzett műtétek száma szakmai bontásban</t>
  </si>
  <si>
    <t>Jelentett    HBCS súly</t>
  </si>
  <si>
    <t>Műtétek száma</t>
  </si>
  <si>
    <t>sebészet</t>
  </si>
  <si>
    <t>ortopédia</t>
  </si>
  <si>
    <t>szemészet</t>
  </si>
  <si>
    <t>urológia</t>
  </si>
  <si>
    <t>nőgyógyászat</t>
  </si>
  <si>
    <t>fül-orr-gége</t>
  </si>
  <si>
    <t>Január</t>
  </si>
  <si>
    <t>Február</t>
  </si>
  <si>
    <t>Március</t>
  </si>
  <si>
    <t>Április</t>
  </si>
  <si>
    <t>Május</t>
  </si>
  <si>
    <t>Június</t>
  </si>
  <si>
    <t>eltérés a jelentett és jelenthető pontok között</t>
  </si>
  <si>
    <t>tárgyhavi</t>
  </si>
  <si>
    <t>hibajavítás</t>
  </si>
  <si>
    <t>halmozott</t>
  </si>
  <si>
    <t>november</t>
  </si>
  <si>
    <t>december</t>
  </si>
  <si>
    <t>január</t>
  </si>
  <si>
    <t>február</t>
  </si>
  <si>
    <t>március</t>
  </si>
  <si>
    <t>április</t>
  </si>
  <si>
    <t>május</t>
  </si>
  <si>
    <t>június</t>
  </si>
  <si>
    <t>július</t>
  </si>
  <si>
    <t>augusztus</t>
  </si>
  <si>
    <t>szeptember</t>
  </si>
  <si>
    <t>október</t>
  </si>
  <si>
    <t>Szakfeladat</t>
  </si>
  <si>
    <t>Teljes munkaidő</t>
  </si>
  <si>
    <t>Részmunkaidő</t>
  </si>
  <si>
    <t>orvos</t>
  </si>
  <si>
    <t>felsőfokú végzettségű</t>
  </si>
  <si>
    <t>szakdolgozó</t>
  </si>
  <si>
    <t>egyéb</t>
  </si>
  <si>
    <t>Igazgatás</t>
  </si>
  <si>
    <t>Otthoni szakápolás</t>
  </si>
  <si>
    <t>Járóbeteg</t>
  </si>
  <si>
    <t>Egynapos sebészet</t>
  </si>
  <si>
    <t>Védőnői szolgálat</t>
  </si>
  <si>
    <t>Iskola-egészségügy</t>
  </si>
  <si>
    <t>Közreműködői szerződés</t>
  </si>
  <si>
    <t>Megbízási szerződés</t>
  </si>
  <si>
    <t>2016 terv</t>
  </si>
  <si>
    <t>2016-ban jelenthető pontok</t>
  </si>
  <si>
    <t>2016-ban elfogadott pontok</t>
  </si>
  <si>
    <t>2016          tény</t>
  </si>
  <si>
    <t>2016-ban jelentett pontok</t>
  </si>
  <si>
    <t>Július</t>
  </si>
  <si>
    <t>Augusztus</t>
  </si>
  <si>
    <t>Szeptember</t>
  </si>
  <si>
    <t>Rendszeres ágazati bérpótlék</t>
  </si>
  <si>
    <t>Területi pótlék, ágazati pótlék (védőnő)</t>
  </si>
  <si>
    <t>2016 tény</t>
  </si>
  <si>
    <t>December hónapban a jelentett teljesítmény szerepel</t>
  </si>
  <si>
    <t>Október</t>
  </si>
  <si>
    <t>November</t>
  </si>
  <si>
    <t>December</t>
  </si>
  <si>
    <t>2015. év</t>
  </si>
  <si>
    <t>2016. év</t>
  </si>
  <si>
    <t>2016. év aránya                                            a tervhez képest</t>
  </si>
  <si>
    <t>2016. év aránya a tervhez képest</t>
  </si>
  <si>
    <t>CT</t>
  </si>
  <si>
    <t>Gyógymasszőr</t>
  </si>
  <si>
    <t>Anyag közvetlen</t>
  </si>
  <si>
    <t>Igénybevett szolgáltatás közvetlen</t>
  </si>
  <si>
    <t>Egyéb szolgáltatás és közvetített szolgáltatás értéke közvetlen</t>
  </si>
  <si>
    <t>Bérköltség közvetlen</t>
  </si>
  <si>
    <t>Személyi jellegű egyéb kifizetés közvetlen</t>
  </si>
  <si>
    <t>Bérjárulékok közvetlen</t>
  </si>
  <si>
    <t>ÉCS közvetlen</t>
  </si>
  <si>
    <t>Eladott, közvetített szolgáltatás értéke közvetlen</t>
  </si>
  <si>
    <t>Egyéb ráfordítás közvetlen</t>
  </si>
  <si>
    <t>86-88</t>
  </si>
  <si>
    <t>Összes közvetlen ráfordítás</t>
  </si>
  <si>
    <t>Anyag közvetett</t>
  </si>
  <si>
    <t>Igénybevett szolgáltatás közvetett</t>
  </si>
  <si>
    <t>Egyéb szolgáltatás és közvetített szolgáltatás értéke közvetett</t>
  </si>
  <si>
    <t>Bérköltség közvetett</t>
  </si>
  <si>
    <t>Személyi jellegű egyéb kifizetés közvetett</t>
  </si>
  <si>
    <t>Bérjárulékok közvetett</t>
  </si>
  <si>
    <t>ÉCS közvetett</t>
  </si>
  <si>
    <t>Eladott, közvetített szolgáltatás értéke közvetett</t>
  </si>
  <si>
    <t>Egyéb ráfordítás közvetett</t>
  </si>
  <si>
    <t>Összes közvetett ráfordítás</t>
  </si>
  <si>
    <t>Összes ráfordítás</t>
  </si>
  <si>
    <t>Értékesítés nettó árbevétele</t>
  </si>
  <si>
    <t>91-94</t>
  </si>
  <si>
    <t>-ebből OEP finanszírozás</t>
  </si>
  <si>
    <t>Saját bevétel</t>
  </si>
  <si>
    <t>(91-94)-9117</t>
  </si>
  <si>
    <t>Egyéb bevétel</t>
  </si>
  <si>
    <t>96 (-9698)</t>
  </si>
  <si>
    <t>-ebből önkormányzati támogatás</t>
  </si>
  <si>
    <t>Pénzügyi műveletek bevételei</t>
  </si>
  <si>
    <t>Pénzforgalom nélküli bevételek</t>
  </si>
  <si>
    <t>Eredmény</t>
  </si>
  <si>
    <t>ODM szűrés</t>
  </si>
  <si>
    <t>Oszteoporózis</t>
  </si>
  <si>
    <t>Ált. belgyógyászat</t>
  </si>
  <si>
    <t>RTG</t>
  </si>
  <si>
    <t>Belgyógyászat</t>
  </si>
  <si>
    <t>Ultrahang</t>
  </si>
  <si>
    <t>OMMF támogatás 2009</t>
  </si>
  <si>
    <t>Inf.terápia</t>
  </si>
  <si>
    <t>Kardiológia, EKG</t>
  </si>
  <si>
    <t>Visegrádi</t>
  </si>
  <si>
    <t>Szegedi</t>
  </si>
  <si>
    <t>Költségadatok</t>
  </si>
  <si>
    <t>Bevételek</t>
  </si>
  <si>
    <t>Anyagktg.</t>
  </si>
  <si>
    <t>Igénybevett szolgáltatás</t>
  </si>
  <si>
    <t>Egyéb szolgáltatás, és eladott (közvetített szolg.) értéke</t>
  </si>
  <si>
    <t>Személyi jellegű egyéb kifiz.</t>
  </si>
  <si>
    <t>Bérjárulékok</t>
  </si>
  <si>
    <t>ÉCS</t>
  </si>
  <si>
    <t>Eladott közvetített szolg. értéke</t>
  </si>
  <si>
    <t>Egyéb ráfordítások</t>
  </si>
  <si>
    <t>-ebből OEP finanszírozás (vizitdíjjal együtt)</t>
  </si>
  <si>
    <t>Egyéb bevételek</t>
  </si>
  <si>
    <t>-ebből Önkormányzati Támogatás</t>
  </si>
  <si>
    <t>Bev-Kiad.</t>
  </si>
  <si>
    <t>Felnőtt és gyermekügy.</t>
  </si>
  <si>
    <t xml:space="preserve"> </t>
  </si>
  <si>
    <t>közvetlen</t>
  </si>
  <si>
    <t>közvetett</t>
  </si>
  <si>
    <t>- ebből igazgatás</t>
  </si>
  <si>
    <t>értékadatok e Ft-ban</t>
  </si>
  <si>
    <t>Sportovos</t>
  </si>
  <si>
    <t>Házi szakáp.</t>
  </si>
  <si>
    <t>Védőnő</t>
  </si>
  <si>
    <t>Iskolaeü.</t>
  </si>
  <si>
    <t>Munkaeü.</t>
  </si>
  <si>
    <t>Közhasznú tevékenység</t>
  </si>
  <si>
    <t>Közhasznú tevékenység összesen:</t>
  </si>
  <si>
    <t>Háziovos</t>
  </si>
  <si>
    <t>Fizikai közérzetjavító</t>
  </si>
  <si>
    <t>Diabetológia kutatás</t>
  </si>
  <si>
    <t>Társasház</t>
  </si>
  <si>
    <t>Ruhatár</t>
  </si>
  <si>
    <t>Vállalkozói egyéb tevékenység (helységbérlet):</t>
  </si>
  <si>
    <t>Összes vállalkozói tevékenység</t>
  </si>
  <si>
    <t>Intézményi adatok összesen:</t>
  </si>
  <si>
    <t>2016.évi terv</t>
  </si>
  <si>
    <t>index%</t>
  </si>
  <si>
    <t>XIII. ker. Egészségügyi Szolgálat Közhasznú Nonprofit Kft.</t>
  </si>
  <si>
    <t xml:space="preserve"> EREDMÉNYKIMUTATÁS ÖSSZKÖLTSÉG "A"</t>
  </si>
  <si>
    <t>Megnevezés / E Ft</t>
  </si>
  <si>
    <t>2016.01.01 Nyitó</t>
  </si>
  <si>
    <t>2016.12.31 Záró</t>
  </si>
  <si>
    <t>Belföldi értékesítés nettó árbevétele</t>
  </si>
  <si>
    <t>OEP elszámolás</t>
  </si>
  <si>
    <t>saját tevékenység</t>
  </si>
  <si>
    <t>Export értékesítés nettó árbevétele</t>
  </si>
  <si>
    <t>I.</t>
  </si>
  <si>
    <t>ÉRTÉKESÍTÉS NETTÓ ÁRBEVÉTELE</t>
  </si>
  <si>
    <t>Saját termelésű készletek állományváltozása</t>
  </si>
  <si>
    <t>Saját előállítású eszközök  aktívált értéke</t>
  </si>
  <si>
    <t>II.</t>
  </si>
  <si>
    <t>AKTÍVÁLT SAJÁT TELJESÍTMÉNYEK ÉRTÉKE</t>
  </si>
  <si>
    <t>III.</t>
  </si>
  <si>
    <t>EGYÉB BEVÉTELEK</t>
  </si>
  <si>
    <t>Önkormányzati működési támogatás</t>
  </si>
  <si>
    <t>ebből visszaírt értékvesztés</t>
  </si>
  <si>
    <t>Igénybe vett szolgáltatások</t>
  </si>
  <si>
    <t>Egyéb szolgáltatások értéke</t>
  </si>
  <si>
    <t>Eladott áruk beszerzési értéke</t>
  </si>
  <si>
    <t>IV.</t>
  </si>
  <si>
    <t>ANYAGJELLEGŰ RÁFORDÍTÁSOK</t>
  </si>
  <si>
    <t>V.</t>
  </si>
  <si>
    <t>SZEMÉLYI JELLEGŰ RÁFORDÍTÁSOK</t>
  </si>
  <si>
    <t>VI.</t>
  </si>
  <si>
    <t>ÉRTÉKCSÖKKENÉSI LEÍRÁS</t>
  </si>
  <si>
    <t>VII.</t>
  </si>
  <si>
    <t>EGYÉB RÁFORDÍTÁSOK</t>
  </si>
  <si>
    <t>ebből értékvesztés</t>
  </si>
  <si>
    <t>A</t>
  </si>
  <si>
    <t>ÜZEMI  (ÜZLETI) TEVÉKENYSÉG EREDMÉNYE</t>
  </si>
  <si>
    <t>Kapott osztalék és részesedés</t>
  </si>
  <si>
    <t>ebből kapcsolt vállalkozástól kapott</t>
  </si>
  <si>
    <t>Részesedésekből származó bevételek, árfolyamnyereségek</t>
  </si>
  <si>
    <t>Befektetett pénzügyi eszközökből származó bevételek, árfolyamnyereségek</t>
  </si>
  <si>
    <t>Egyéb kapott kamatok és kamatjellegű bevételek</t>
  </si>
  <si>
    <t>Pénzügyi műveletek egyéb bevételei</t>
  </si>
  <si>
    <t>ebből: értékelési különbözet</t>
  </si>
  <si>
    <t>VIII.</t>
  </si>
  <si>
    <t>PÉNZÜGYI MŰVELETEK BEVÉTELEI</t>
  </si>
  <si>
    <t>Részesedésekből származó ráfordítások, árfolyamveszteségek</t>
  </si>
  <si>
    <t>ebből kapcsolt vállalkozásnak adott</t>
  </si>
  <si>
    <t>Befektetett pénzügyi eszközökből származó ráfordítások, árfolyamveszteségek</t>
  </si>
  <si>
    <t>Fizetendő kamatok és kamatjellegű ráfordítások</t>
  </si>
  <si>
    <t>Részesedések, értékpapírok, bankbetétek értékvesztése</t>
  </si>
  <si>
    <t>Pénzügyi műveletek egyéb ráfordításai</t>
  </si>
  <si>
    <t>IX.</t>
  </si>
  <si>
    <t>PÉNZÜGYI MŰVELETEK RÁFORDÍTÁSAI</t>
  </si>
  <si>
    <t>B</t>
  </si>
  <si>
    <t>Pénzügyi műveletek eredménye</t>
  </si>
  <si>
    <t>C</t>
  </si>
  <si>
    <t>ADÓZÁS ELŐTTI EREDMÉNY</t>
  </si>
  <si>
    <t>X</t>
  </si>
  <si>
    <t>ADÓFIZETÉSI KÖTELEZETTSÉG</t>
  </si>
  <si>
    <t>D</t>
  </si>
  <si>
    <t xml:space="preserve">ADÓZOTT EREDMÉNY </t>
  </si>
  <si>
    <t>MÉRLEG "A" változat ESZKÖZÖK</t>
  </si>
  <si>
    <t>BEFEKTETETT ESZKÖZÖK</t>
  </si>
  <si>
    <t>IMMATERIÁLIS JAVAK</t>
  </si>
  <si>
    <t>I.1</t>
  </si>
  <si>
    <t>Alapítás-átszervezés aktivált értéke</t>
  </si>
  <si>
    <t>I.2</t>
  </si>
  <si>
    <t>Kísérleti fejlesztés aktivált értéke</t>
  </si>
  <si>
    <t>I.3</t>
  </si>
  <si>
    <t>Vagyoni értékű jogok</t>
  </si>
  <si>
    <t>I.4</t>
  </si>
  <si>
    <t>Szellemi termékek</t>
  </si>
  <si>
    <t>I.5</t>
  </si>
  <si>
    <t>Üzleti vagy cégérték</t>
  </si>
  <si>
    <t>I.6</t>
  </si>
  <si>
    <t>Immateriális javakra adott előlegek</t>
  </si>
  <si>
    <t>I.7</t>
  </si>
  <si>
    <t>Immateriális javak értékhelyesbítése</t>
  </si>
  <si>
    <t>TÁRGYI ESZKÖZÖK</t>
  </si>
  <si>
    <t>II.1</t>
  </si>
  <si>
    <t>Ingatlanok és kapcsolódó vagyoni értékű jogok</t>
  </si>
  <si>
    <t>II.2</t>
  </si>
  <si>
    <t>Műszaki berendezések, gépek, járművek</t>
  </si>
  <si>
    <t>II.3</t>
  </si>
  <si>
    <t>Egyéb berendezések, felszerelések, járművek</t>
  </si>
  <si>
    <t>II.4</t>
  </si>
  <si>
    <t>Tenyészállatok</t>
  </si>
  <si>
    <t>II.5</t>
  </si>
  <si>
    <t>Beruházások</t>
  </si>
  <si>
    <t>II.6</t>
  </si>
  <si>
    <t>Beruházásokra adott előleg</t>
  </si>
  <si>
    <t>II.7</t>
  </si>
  <si>
    <t>Tárgyi eszközök értékhelyesbítése</t>
  </si>
  <si>
    <t>BEFEKTETETT PÉNZÜGYI ESZKÖZÖK.</t>
  </si>
  <si>
    <t>III.1</t>
  </si>
  <si>
    <t>Tartós részesedések kapcsolt vállalkozásban</t>
  </si>
  <si>
    <t>III.2</t>
  </si>
  <si>
    <t>Tartósan adott kölcsön kapcsolt vállalkozásban</t>
  </si>
  <si>
    <t>III.3</t>
  </si>
  <si>
    <t>Tartós jelentős tulajdoni részesedés</t>
  </si>
  <si>
    <t>III.4</t>
  </si>
  <si>
    <t>Tartósan adott kölcsön jelentős tulajdoni részesedési viszonyban álló vállalkozásban</t>
  </si>
  <si>
    <t>III.5</t>
  </si>
  <si>
    <t>Egyéb tartós részesedés</t>
  </si>
  <si>
    <t>III.6</t>
  </si>
  <si>
    <t>Tartósan adott kölcsön egyéb részesedési viszonyban álló vállalkozásban</t>
  </si>
  <si>
    <t>III.7</t>
  </si>
  <si>
    <t>Egyéb tartósan adott kölcsön</t>
  </si>
  <si>
    <t>III.8</t>
  </si>
  <si>
    <t>Tartós hitelviszonyt megtestesítő értékpapír</t>
  </si>
  <si>
    <t>III.9</t>
  </si>
  <si>
    <t>Befektetett pénzügyi eszközök értékhelyesbítése</t>
  </si>
  <si>
    <t>III.10</t>
  </si>
  <si>
    <t>Befektetett pénzügyi eszközök értékelési különbözete</t>
  </si>
  <si>
    <t>FORGÓESZKÖZÖK</t>
  </si>
  <si>
    <t>I</t>
  </si>
  <si>
    <t>KÉSZLETEK</t>
  </si>
  <si>
    <t>Anyagok</t>
  </si>
  <si>
    <t>Befejezetlen termelés és félkész termék</t>
  </si>
  <si>
    <t>Növendék-, hízó- és egyéb állatok</t>
  </si>
  <si>
    <t>Késztermékek</t>
  </si>
  <si>
    <t>Áruk</t>
  </si>
  <si>
    <t>Készletre adott előlegek</t>
  </si>
  <si>
    <t>KÖVETELÉSEK</t>
  </si>
  <si>
    <t>Követelések áruszállításból és szolgáltatásból</t>
  </si>
  <si>
    <t>Követelések kapcsolt vállalkozással szemben</t>
  </si>
  <si>
    <t>Követelések jelentős tulajdoni részesedési viszonyban lévő vállalkozásokkal szemben</t>
  </si>
  <si>
    <t>Követelések egyéb részesedési viszonyban lévő vállalkozással szemben</t>
  </si>
  <si>
    <t>Váltókövetelések</t>
  </si>
  <si>
    <t>Egyéb követelések</t>
  </si>
  <si>
    <t>Követelések értékelési különbözete</t>
  </si>
  <si>
    <t>II.8</t>
  </si>
  <si>
    <t>Származékos ügyletek pozitív értékelési különbözete</t>
  </si>
  <si>
    <t>ÉRTÉKPAPÍROK</t>
  </si>
  <si>
    <t>Részesedés kapcsolt vállalkozásban</t>
  </si>
  <si>
    <t>Jelentős tulajdoni részesedés</t>
  </si>
  <si>
    <t>Egyéb részesedés</t>
  </si>
  <si>
    <t>Saját részvények és részesedések</t>
  </si>
  <si>
    <t>Forgatási célú hitelviszonyt megtestesítő értékpapírok</t>
  </si>
  <si>
    <t>Értékpapírok értékelési különbözete</t>
  </si>
  <si>
    <t>PÉNZESZKÖZÖK</t>
  </si>
  <si>
    <t>IV.1</t>
  </si>
  <si>
    <t>Pénztár, csekkek</t>
  </si>
  <si>
    <t>IV.2</t>
  </si>
  <si>
    <t>Bankbetétek</t>
  </si>
  <si>
    <t>AKTÍV IDŐBELI ELHATÁROLÁSOK</t>
  </si>
  <si>
    <t>C.1</t>
  </si>
  <si>
    <t>Bevételek aktív időbeli elhatárolása</t>
  </si>
  <si>
    <t>C.2</t>
  </si>
  <si>
    <t>Költségek, ráfordítások aktív időbeli elhatárolása</t>
  </si>
  <si>
    <t>C.3</t>
  </si>
  <si>
    <t>Halasztott ráfordítások</t>
  </si>
  <si>
    <t>ESZKÖZÖK  ÖSSZESEN:</t>
  </si>
  <si>
    <t>MÉRLEG "A" változat FORRÁSOK</t>
  </si>
  <si>
    <t>D.</t>
  </si>
  <si>
    <t>SAJÁT TŐKE</t>
  </si>
  <si>
    <t>JEGYZETT TŐKE</t>
  </si>
  <si>
    <t>ebből visszavásárolt tulajdoni részesedés névértéken</t>
  </si>
  <si>
    <t>JEGYZETT, DE MÉG BE NEM FIZ. TŐKE</t>
  </si>
  <si>
    <t>TŐKETARTALÉK</t>
  </si>
  <si>
    <t xml:space="preserve">IV. </t>
  </si>
  <si>
    <t>EREDMÉNYTARTALÉK</t>
  </si>
  <si>
    <t>LEKÖTÖTT TARTALÉK</t>
  </si>
  <si>
    <t>ÉRTÉKELÉSI TARTALÉK</t>
  </si>
  <si>
    <t>VI.1</t>
  </si>
  <si>
    <t>Értékhelyesbítés értékelési tartaléka</t>
  </si>
  <si>
    <t>VI.2</t>
  </si>
  <si>
    <t>Valós értékelés értékelési tartaléka</t>
  </si>
  <si>
    <t>ADÓZOTT EREDMÉNY</t>
  </si>
  <si>
    <t>E.</t>
  </si>
  <si>
    <t>CÉLTARTALÉKOK</t>
  </si>
  <si>
    <t>E.1</t>
  </si>
  <si>
    <t>Céltartalék a várható kötelezettségekre</t>
  </si>
  <si>
    <t>E.2</t>
  </si>
  <si>
    <t>Céltartalék a jövőbeni költségekre</t>
  </si>
  <si>
    <t>E.3</t>
  </si>
  <si>
    <t>Egyéb céltartalék</t>
  </si>
  <si>
    <t>F.</t>
  </si>
  <si>
    <t>KÖTELEZETTSÉGEK</t>
  </si>
  <si>
    <t>HÁTRASOROLT KÖTELEZETTSÉGEK</t>
  </si>
  <si>
    <t>Hátrasorolt kötelezettségek kapcsolt vállalkozással szemben</t>
  </si>
  <si>
    <t>Hátrasorolt kötelezettségek jelentős tulajdoni viszonyban lévő vállalkozással szemben</t>
  </si>
  <si>
    <t>Hátrasorolt kötelezettségek egyéb részesedési viszonyban lévő vállalkozással szemben</t>
  </si>
  <si>
    <t>Hátrasorolt kötelezettségek egyéb gazdálkodóval szemben</t>
  </si>
  <si>
    <t>HOSSZÚ LEJÁRATÚ KÖTELEZETTSÉGEK</t>
  </si>
  <si>
    <t>Hosszú lejáratra kapott kölcsönök</t>
  </si>
  <si>
    <t>Átváltoztatható kötvény</t>
  </si>
  <si>
    <t>Tartozások kötvénykibocsátásból</t>
  </si>
  <si>
    <t>Beruházási és  fejlesztési hitelek</t>
  </si>
  <si>
    <t>Egyéb hosszú lejáratú hitelek</t>
  </si>
  <si>
    <t>Tartós kötelezettségek kapcsolt vállalkozással szemben</t>
  </si>
  <si>
    <t xml:space="preserve">Tartós kötelezettségek jelentős tulajdoni részesedési viszonyban lévő vállalkozásokkal szemben </t>
  </si>
  <si>
    <t>Tartós kötelezettségek egyéb részesedési viszonyban lévő vállalkozással szemben</t>
  </si>
  <si>
    <t>II.9</t>
  </si>
  <si>
    <t>Egyéb hosszú lejáratú kötelezettségek</t>
  </si>
  <si>
    <t>RÖVID LEJÁRATÚ KÖTELEZETTSÉGEK</t>
  </si>
  <si>
    <t>Rövid lejáratú kölcsönök</t>
  </si>
  <si>
    <t>ebből az átváltoztatható és átváltozó kötvények</t>
  </si>
  <si>
    <t>Rövid lejáratú hitelek</t>
  </si>
  <si>
    <t>Vevőtől kapott előlegek</t>
  </si>
  <si>
    <t>Kötelezettségek áruszállításból és szolgáltatásból</t>
  </si>
  <si>
    <t>Kötelezettségek anyavállalattal szemben</t>
  </si>
  <si>
    <t>Váltótartozások</t>
  </si>
  <si>
    <t>Rövid lejáratú kötelezettségek kapcsolt vállalkozással szemben</t>
  </si>
  <si>
    <t>Rövid lejáratú kötelezettségek jelentős tulajdoni viszonyban lévő vállalkozásokkal szemben</t>
  </si>
  <si>
    <t>Rövid lejáratú kötelezettségek egyéb részesedési viszonyban lévő vállalkozással szemben</t>
  </si>
  <si>
    <t>Egyéb rövid  lejáratú kötelezettségek</t>
  </si>
  <si>
    <t>Kötelezettségek értékelési különbözete</t>
  </si>
  <si>
    <t>III.11</t>
  </si>
  <si>
    <t>Származékos ügyletek negatív értékelési különbözete</t>
  </si>
  <si>
    <t>G.</t>
  </si>
  <si>
    <t>PASSZÍV IDŐBELI ELHATÁROLÁSOK</t>
  </si>
  <si>
    <t>G.1</t>
  </si>
  <si>
    <t>Bevételek passzív időbeli elhatárolása</t>
  </si>
  <si>
    <t>G.2</t>
  </si>
  <si>
    <t>Költségek, ráfordítások passzív időbeli elhatárolása</t>
  </si>
  <si>
    <t>G.3</t>
  </si>
  <si>
    <t>Halasztott bevételek</t>
  </si>
  <si>
    <t>FORRÁSOK (PASSZÍVÁK ) ÖSSZESEN:</t>
  </si>
  <si>
    <t>BERUHÁZÁS  2016.01.01. - 2016.12.31.</t>
  </si>
  <si>
    <t>Érték Ft</t>
  </si>
  <si>
    <t>JÁRÓBETEG</t>
  </si>
  <si>
    <t>vagyonért.jog</t>
  </si>
  <si>
    <t>ESET NOD ANTIVIRÚS 1 ÉVES LICENC</t>
  </si>
  <si>
    <t>RTG PROGRAM KÉTIRÁNYÚ KAPCS.KIFEJL.</t>
  </si>
  <si>
    <t>OFFICE + WINDOWS    10-10 DB</t>
  </si>
  <si>
    <t>gép,-müszer</t>
  </si>
  <si>
    <t>Szegedi  Fizikó</t>
  </si>
  <si>
    <t>INHALÁTOR</t>
  </si>
  <si>
    <t>LÁBMOZGATÓ BERENDEZÉS</t>
  </si>
  <si>
    <t>Szegedi  Egynapos</t>
  </si>
  <si>
    <t>MÜTŐASZTALHOZ PEDÁL</t>
  </si>
  <si>
    <t>FÉNYKÁBEL ÜVEGSZÁLAS</t>
  </si>
  <si>
    <t>STORZ ESZKÖZÖK</t>
  </si>
  <si>
    <t>ALTATÓGÉP</t>
  </si>
  <si>
    <t>MÜTŐLÁMPA MENNYEZETI</t>
  </si>
  <si>
    <t>MÜTŐASZTAL</t>
  </si>
  <si>
    <t>Szegedi  Sebészet</t>
  </si>
  <si>
    <t>FÜSTELSZIVÓ KÉSZÜLÉK LÉZERHEZ</t>
  </si>
  <si>
    <t>Szegedi Szemészet</t>
  </si>
  <si>
    <t>FÓLIA HEGESZTŐ</t>
  </si>
  <si>
    <t>PRÓBAKERET</t>
  </si>
  <si>
    <t>KRITIKUS FÚZIÓS FREKVENCIAMÉRŐ</t>
  </si>
  <si>
    <t>HŐLÉGSTERILIZÁLÓ</t>
  </si>
  <si>
    <t>Visegrádi  Urológia</t>
  </si>
  <si>
    <t>VIZELET ANALIZÁTOR</t>
  </si>
  <si>
    <t>CYSTOSCOPOS TORONY</t>
  </si>
  <si>
    <t>ULTRAHANG KÉSZÜLÉK</t>
  </si>
  <si>
    <t>Visegrádi   Szemészet</t>
  </si>
  <si>
    <t>PERIMÉTER</t>
  </si>
  <si>
    <t>Visegrádi Fül-orr-gége</t>
  </si>
  <si>
    <t>NASOPHARYNGOSZKOP</t>
  </si>
  <si>
    <t>MAROK FÉNYFORRÁS</t>
  </si>
  <si>
    <t>KEZELŐEGYSÉG FELÚJÍTÁSA</t>
  </si>
  <si>
    <t>Visegrádi  Fizikó</t>
  </si>
  <si>
    <t>Szegedi út  Fül-orr-gége</t>
  </si>
  <si>
    <t>OTOACUSTIKUS EMISSZIÓMÉRŐ</t>
  </si>
  <si>
    <t>EMISSZIÓMÉRŐHÖZ NYOMTATÓ</t>
  </si>
  <si>
    <t>AUDIOMÉTERHEZ  FEJHALLGATÓ+ FEJPÁNT</t>
  </si>
  <si>
    <t>ENDOSZKOP   3 DB</t>
  </si>
  <si>
    <t>Szegedi Gasztro</t>
  </si>
  <si>
    <t>FOGÓ BIOPSZIÁS   8 DB</t>
  </si>
  <si>
    <t>H2 KILÉGZÉSI TESZT KÉSZÜLÉK</t>
  </si>
  <si>
    <t>SZÁLOPTIKA</t>
  </si>
  <si>
    <t>Szegedi  RTG</t>
  </si>
  <si>
    <t>MAMMOGRÁFIÁHOZ HÜTŐEGYSÉG</t>
  </si>
  <si>
    <t>Visegrádi  Nőgyógy</t>
  </si>
  <si>
    <t>Visegrádi Bőrgyógy</t>
  </si>
  <si>
    <t>ügyvitel,-számt.</t>
  </si>
  <si>
    <t>SZÁMÍTÓGÉP + MONITOR   10-10 DB</t>
  </si>
  <si>
    <t>NYOMTATÓ   20  DB</t>
  </si>
  <si>
    <t>Szegedi  Diabetológia</t>
  </si>
  <si>
    <t>NYOMTATÓ</t>
  </si>
  <si>
    <t>Szegedi  Labor</t>
  </si>
  <si>
    <t>SZÜNETMENTES ÁRAMFORRÁS</t>
  </si>
  <si>
    <t>Járóbeteg összesen:</t>
  </si>
  <si>
    <t>Központi írányítás</t>
  </si>
  <si>
    <t>munkaügy</t>
  </si>
  <si>
    <t>BER-HENYIR ADATSZOLG.INTERFÉSZ</t>
  </si>
  <si>
    <t>gép-műszer</t>
  </si>
  <si>
    <t>gondnokság</t>
  </si>
  <si>
    <t>FŰNYIRÓ GÉP</t>
  </si>
  <si>
    <t>ügyvit.számt</t>
  </si>
  <si>
    <t>MOBIL TELEFONHOZ AUTÓS TARTÓ- TÖLTŐ</t>
  </si>
  <si>
    <t>ÜVEGFÓLIA TELEFONHOZ</t>
  </si>
  <si>
    <t>SZKENNER</t>
  </si>
  <si>
    <t>gépkocsi</t>
  </si>
  <si>
    <t>akkumulátor</t>
  </si>
  <si>
    <t>Központi irányítás összesen:</t>
  </si>
  <si>
    <t>Védőnői szolg.</t>
  </si>
  <si>
    <t>ISKOLA VÉDŐNŐ</t>
  </si>
  <si>
    <t>MS OFFICE 2016 HOME</t>
  </si>
  <si>
    <t>Ipoly u védőnő</t>
  </si>
  <si>
    <t>SOFTVER 1XVÉDŐNŐ-ről 2-re</t>
  </si>
  <si>
    <t>ügyvit.számt.</t>
  </si>
  <si>
    <t>NOTEBOOK</t>
  </si>
  <si>
    <t xml:space="preserve">NŐVÉR U </t>
  </si>
  <si>
    <t>SWITCH</t>
  </si>
  <si>
    <t xml:space="preserve">Háziorvos </t>
  </si>
  <si>
    <t>gép-müszer</t>
  </si>
  <si>
    <t>Esküvő köz</t>
  </si>
  <si>
    <t>VÁRÓTERMI PAD  16 DB</t>
  </si>
  <si>
    <t>Fogorvosi ellátás</t>
  </si>
  <si>
    <t>Szájsebészet</t>
  </si>
  <si>
    <t>Nővér utcai rendelő bútorzata</t>
  </si>
  <si>
    <t>gép, műszer</t>
  </si>
  <si>
    <t>Védőnői Szolgálat</t>
  </si>
  <si>
    <t>HÜTŐSZEKRÉNY  6 DB</t>
  </si>
  <si>
    <t>EKG KÉSZÜLÉK</t>
  </si>
  <si>
    <t>LÁTÁSVIZSGÁLÓ TÁBLA</t>
  </si>
  <si>
    <t>SZÜRŐAUDIOMÉTER  2 DB</t>
  </si>
  <si>
    <t>MAGZATI SZÍVHANGVIZSGÁLÓ    2 DB</t>
  </si>
  <si>
    <t>SÜRGŐSSÉGI TÁSKA</t>
  </si>
  <si>
    <t>KÉZSZÁRÍTÓ   3 DB</t>
  </si>
  <si>
    <t>FÜGGÖNY TÉRELVÁLASZTÓ   2 DB</t>
  </si>
  <si>
    <t>UTCAI HULLADÉKGYŰJTŐ</t>
  </si>
  <si>
    <t>TAKARITÓ KOCSI</t>
  </si>
  <si>
    <t>BÚTORZAT</t>
  </si>
  <si>
    <t>Gyermekorvosi rendelők</t>
  </si>
  <si>
    <t>HÜTŐSZEKRÉNY  10 DB</t>
  </si>
  <si>
    <t>LÁTÁSVIZSGÁLÓ TÁBLA   5 DB</t>
  </si>
  <si>
    <t xml:space="preserve">SZÜRŐAUDIOMÉTER  </t>
  </si>
  <si>
    <t xml:space="preserve">MAGZATI SZÍVHANGVIZSGÁLÓ    </t>
  </si>
  <si>
    <t>SÜRGŐSSÉGI TÁSKA   5 DB</t>
  </si>
  <si>
    <t>FÜGGÖNY TÉRELVÁLASZTÓ   12 DB</t>
  </si>
  <si>
    <t>Nővér utca összesen:</t>
  </si>
  <si>
    <t>Mindösszesen:</t>
  </si>
  <si>
    <t>Térítésmentes átvétel</t>
  </si>
  <si>
    <t>K&amp;H Egészséges Nemzetért Alapítvány</t>
  </si>
  <si>
    <t>Nővér u Védőnői Szolg</t>
  </si>
  <si>
    <t>DOOPLER</t>
  </si>
  <si>
    <t>Ipoly u Védőnői Szolg:</t>
  </si>
  <si>
    <t>Révész u Védőnői Szolg.</t>
  </si>
  <si>
    <t>Béke u  Védőnői Szolg</t>
  </si>
  <si>
    <t>SZŰRŐAUDIOMÉTER</t>
  </si>
  <si>
    <t>Roche Kft</t>
  </si>
  <si>
    <t>Szegedi út Labor</t>
  </si>
  <si>
    <t>WINDOWS 7   4 DB</t>
  </si>
  <si>
    <t>SZÁMITÓGÉP   8 DB</t>
  </si>
  <si>
    <t>MONITOR   6 DB</t>
  </si>
  <si>
    <t>SZÁMÍTÓGÉP  H81-INTEL 4 DB</t>
  </si>
  <si>
    <t>Térítésmenrtes átvétel összesen:</t>
  </si>
  <si>
    <t>2016.01.01 -  2016.12,31</t>
  </si>
  <si>
    <t>gép-,müszer</t>
  </si>
  <si>
    <t>bútor</t>
  </si>
  <si>
    <t>ügyvitel-,számt.</t>
  </si>
  <si>
    <t>épület</t>
  </si>
  <si>
    <t>Védőnői Szolg.</t>
  </si>
  <si>
    <t>Fogászati ell.</t>
  </si>
  <si>
    <t>központi irányitás</t>
  </si>
  <si>
    <t>Gyermekorvosi</t>
  </si>
  <si>
    <t>Háziorvosi</t>
  </si>
  <si>
    <t>Szegedi út Gyógytorna</t>
  </si>
  <si>
    <t>Beszerzés pénzmozgással összesen:</t>
  </si>
  <si>
    <t xml:space="preserve">     Beszerzés pénzmozgással </t>
  </si>
  <si>
    <t xml:space="preserve">Beszerzés pénzmozgás nélkül </t>
  </si>
  <si>
    <t>11. sz. melléklet</t>
  </si>
  <si>
    <t>11/a sz. melléklet</t>
  </si>
  <si>
    <t>Budapest, XIII. kerület Szegedi út 17.sz.Egészségház Társasház</t>
  </si>
  <si>
    <t>2016.év</t>
  </si>
  <si>
    <t>BEVÉTEL eFt</t>
  </si>
  <si>
    <t>Éves terv</t>
  </si>
  <si>
    <t>Éves tény</t>
  </si>
  <si>
    <t xml:space="preserve">Közös költség </t>
  </si>
  <si>
    <t>KIADÁS eFt</t>
  </si>
  <si>
    <t>Éves  tény</t>
  </si>
  <si>
    <t>Közüzemi szolgáltatás</t>
  </si>
  <si>
    <t>Takarítás</t>
  </si>
  <si>
    <t>Őrzés-védelem</t>
  </si>
  <si>
    <t xml:space="preserve">Ingatlan karbantartás </t>
  </si>
  <si>
    <t>Lift karbantartás</t>
  </si>
  <si>
    <t>Szemétszállítás</t>
  </si>
  <si>
    <t>Tranzakciós-bankköltség</t>
  </si>
  <si>
    <t xml:space="preserve">Vagyonbiztosítás </t>
  </si>
  <si>
    <t>Jogi tanácsadás-könyvvizsgálat</t>
  </si>
  <si>
    <t xml:space="preserve">Közös képviseleti díj </t>
  </si>
  <si>
    <t xml:space="preserve">Összesen: </t>
  </si>
  <si>
    <t xml:space="preserve">Bevétel - Kiadás :   </t>
  </si>
  <si>
    <t>Budapest, XIII. kerület Visegrádi u. 47/C- Alig u. 9.sz. Egészségház Társasház</t>
  </si>
  <si>
    <t>14. sz. melléklet</t>
  </si>
  <si>
    <t>15. sz. melléklet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</si>
</sst>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F_t_-;\-* #,##0.00\ _F_t_-;_-* &quot;-&quot;??\ _F_t_-;_-@_-"/>
    <numFmt numFmtId="164" formatCode="0.0%"/>
    <numFmt numFmtId="165" formatCode="#,##0.0"/>
    <numFmt numFmtId="166" formatCode="#,##0\ &quot;Ft&quot;"/>
    <numFmt numFmtId="167" formatCode="#,##0.0000"/>
    <numFmt numFmtId="168" formatCode="0.0"/>
  </numFmts>
  <fonts count="39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i/>
      <sz val="10"/>
      <name val="Arial CE"/>
      <family val="2"/>
      <charset val="238"/>
    </font>
    <font>
      <sz val="10"/>
      <name val="Arial CE"/>
      <family val="2"/>
      <charset val="238"/>
    </font>
    <font>
      <b/>
      <i/>
      <sz val="10"/>
      <name val="Arial CE"/>
      <family val="2"/>
      <charset val="238"/>
    </font>
    <font>
      <i/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0"/>
      <name val="Times New Roman"/>
      <family val="1"/>
      <charset val="238"/>
    </font>
    <font>
      <sz val="26"/>
      <name val="Arial CE"/>
      <family val="2"/>
      <charset val="238"/>
    </font>
    <font>
      <b/>
      <sz val="10"/>
      <name val="Arial CE"/>
      <charset val="238"/>
    </font>
    <font>
      <sz val="11"/>
      <name val="Arial CE"/>
      <charset val="238"/>
    </font>
    <font>
      <b/>
      <sz val="11"/>
      <name val="Arial CE"/>
      <charset val="238"/>
    </font>
    <font>
      <sz val="10"/>
      <name val="MS Sans Serif"/>
      <family val="2"/>
      <charset val="238"/>
    </font>
    <font>
      <b/>
      <sz val="10"/>
      <name val="MS Sans Serif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</font>
    <font>
      <b/>
      <sz val="9"/>
      <name val="Arial Narrow"/>
      <family val="2"/>
      <charset val="238"/>
    </font>
    <font>
      <b/>
      <sz val="10"/>
      <name val="Times New Roman"/>
      <family val="1"/>
    </font>
    <font>
      <sz val="9"/>
      <name val="Arial Narrow"/>
      <family val="2"/>
      <charset val="238"/>
    </font>
    <font>
      <sz val="10"/>
      <name val="Times New Roman"/>
      <family val="1"/>
    </font>
    <font>
      <b/>
      <sz val="9"/>
      <name val="Arial Narrow"/>
      <family val="2"/>
    </font>
    <font>
      <sz val="9"/>
      <name val="Arial Narrow"/>
      <family val="2"/>
    </font>
    <font>
      <b/>
      <sz val="10"/>
      <name val="Times New Roman"/>
      <family val="1"/>
      <charset val="238"/>
    </font>
    <font>
      <b/>
      <sz val="9"/>
      <name val="Times New Roman"/>
      <family val="1"/>
    </font>
    <font>
      <i/>
      <sz val="9"/>
      <name val="Arial Narrow"/>
      <family val="2"/>
      <charset val="238"/>
    </font>
    <font>
      <sz val="9"/>
      <name val="Times New Roman"/>
      <family val="1"/>
    </font>
    <font>
      <b/>
      <sz val="9"/>
      <name val="Times New Roman"/>
      <family val="1"/>
      <charset val="238"/>
    </font>
    <font>
      <sz val="11"/>
      <name val="Arial CE"/>
      <family val="2"/>
      <charset val="238"/>
    </font>
    <font>
      <b/>
      <sz val="11"/>
      <name val="Arial CE"/>
      <family val="2"/>
      <charset val="238"/>
    </font>
    <font>
      <sz val="12"/>
      <name val="Arial CE"/>
      <family val="2"/>
      <charset val="238"/>
    </font>
    <font>
      <sz val="10"/>
      <color theme="0"/>
      <name val="Arial CE"/>
      <charset val="238"/>
    </font>
    <font>
      <b/>
      <sz val="11"/>
      <color theme="1"/>
      <name val="Calibri"/>
      <family val="2"/>
      <charset val="238"/>
      <scheme val="minor"/>
    </font>
    <font>
      <b/>
      <i/>
      <sz val="13"/>
      <color theme="1"/>
      <name val="Calibri"/>
      <family val="2"/>
      <charset val="238"/>
      <scheme val="minor"/>
    </font>
    <font>
      <b/>
      <i/>
      <sz val="20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10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8" fillId="0" borderId="0"/>
    <xf numFmtId="0" fontId="2" fillId="0" borderId="0"/>
    <xf numFmtId="9" fontId="2" fillId="0" borderId="0" applyFont="0" applyFill="0" applyBorder="0" applyAlignment="0" applyProtection="0"/>
    <xf numFmtId="0" fontId="9" fillId="0" borderId="0"/>
    <xf numFmtId="0" fontId="9" fillId="0" borderId="0"/>
    <xf numFmtId="0" fontId="14" fillId="0" borderId="0" applyBorder="0"/>
    <xf numFmtId="0" fontId="16" fillId="0" borderId="0"/>
    <xf numFmtId="43" fontId="2" fillId="0" borderId="0" applyFont="0" applyFill="0" applyBorder="0" applyAlignment="0" applyProtection="0"/>
    <xf numFmtId="0" fontId="1" fillId="0" borderId="0"/>
  </cellStyleXfs>
  <cellXfs count="74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4" xfId="0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3" fontId="3" fillId="0" borderId="1" xfId="0" applyNumberFormat="1" applyFont="1" applyBorder="1" applyAlignment="1">
      <alignment vertical="center"/>
    </xf>
    <xf numFmtId="3" fontId="3" fillId="0" borderId="3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vertical="center"/>
    </xf>
    <xf numFmtId="3" fontId="3" fillId="0" borderId="4" xfId="0" applyNumberFormat="1" applyFont="1" applyBorder="1" applyAlignment="1">
      <alignment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49" fontId="0" fillId="0" borderId="4" xfId="0" applyNumberFormat="1" applyBorder="1" applyAlignment="1">
      <alignment horizontal="left" vertical="center" indent="1"/>
    </xf>
    <xf numFmtId="3" fontId="0" fillId="0" borderId="1" xfId="0" applyNumberFormat="1" applyBorder="1" applyAlignment="1">
      <alignment vertical="center"/>
    </xf>
    <xf numFmtId="3" fontId="0" fillId="0" borderId="3" xfId="0" applyNumberFormat="1" applyBorder="1" applyAlignment="1">
      <alignment vertical="center"/>
    </xf>
    <xf numFmtId="164" fontId="0" fillId="0" borderId="2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5" fontId="0" fillId="0" borderId="1" xfId="0" applyNumberFormat="1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0" xfId="0" applyFont="1" applyAlignment="1">
      <alignment vertical="center"/>
    </xf>
    <xf numFmtId="3" fontId="0" fillId="0" borderId="6" xfId="0" applyNumberForma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3" fontId="3" fillId="0" borderId="9" xfId="0" applyNumberFormat="1" applyFont="1" applyBorder="1" applyAlignment="1">
      <alignment vertical="center"/>
    </xf>
    <xf numFmtId="164" fontId="3" fillId="0" borderId="7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165" fontId="3" fillId="0" borderId="1" xfId="0" applyNumberFormat="1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vertical="center"/>
    </xf>
    <xf numFmtId="3" fontId="0" fillId="0" borderId="0" xfId="0" applyNumberFormat="1" applyAlignment="1">
      <alignment vertical="center"/>
    </xf>
    <xf numFmtId="164" fontId="0" fillId="0" borderId="0" xfId="0" applyNumberFormat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 indent="1"/>
    </xf>
    <xf numFmtId="3" fontId="4" fillId="0" borderId="1" xfId="0" applyNumberFormat="1" applyFont="1" applyBorder="1" applyAlignment="1">
      <alignment vertical="center"/>
    </xf>
    <xf numFmtId="164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 indent="4"/>
    </xf>
    <xf numFmtId="164" fontId="0" fillId="0" borderId="0" xfId="0" applyNumberFormat="1" applyAlignment="1">
      <alignment vertical="center"/>
    </xf>
    <xf numFmtId="3" fontId="3" fillId="0" borderId="14" xfId="0" applyNumberFormat="1" applyFont="1" applyBorder="1" applyAlignment="1">
      <alignment vertical="center"/>
    </xf>
    <xf numFmtId="3" fontId="3" fillId="0" borderId="15" xfId="0" applyNumberFormat="1" applyFont="1" applyBorder="1" applyAlignment="1">
      <alignment vertical="center"/>
    </xf>
    <xf numFmtId="3" fontId="0" fillId="0" borderId="12" xfId="0" applyNumberFormat="1" applyBorder="1" applyAlignment="1">
      <alignment vertical="center"/>
    </xf>
    <xf numFmtId="3" fontId="3" fillId="0" borderId="16" xfId="0" applyNumberFormat="1" applyFont="1" applyBorder="1" applyAlignment="1">
      <alignment vertical="center"/>
    </xf>
    <xf numFmtId="3" fontId="3" fillId="0" borderId="11" xfId="0" applyNumberFormat="1" applyFont="1" applyBorder="1" applyAlignment="1">
      <alignment vertical="center"/>
    </xf>
    <xf numFmtId="3" fontId="3" fillId="0" borderId="12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164" fontId="5" fillId="0" borderId="1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164" fontId="5" fillId="0" borderId="18" xfId="0" applyNumberFormat="1" applyFont="1" applyBorder="1" applyAlignment="1">
      <alignment horizontal="center" vertical="center"/>
    </xf>
    <xf numFmtId="164" fontId="3" fillId="0" borderId="18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165" fontId="0" fillId="0" borderId="0" xfId="0" applyNumberFormat="1" applyAlignment="1">
      <alignment vertical="center"/>
    </xf>
    <xf numFmtId="3" fontId="5" fillId="0" borderId="1" xfId="0" applyNumberFormat="1" applyFont="1" applyBorder="1" applyAlignment="1">
      <alignment vertical="center"/>
    </xf>
    <xf numFmtId="165" fontId="4" fillId="0" borderId="1" xfId="0" applyNumberFormat="1" applyFont="1" applyBorder="1" applyAlignment="1">
      <alignment horizontal="left" vertical="center" indent="2"/>
    </xf>
    <xf numFmtId="165" fontId="5" fillId="0" borderId="1" xfId="0" applyNumberFormat="1" applyFont="1" applyBorder="1" applyAlignment="1">
      <alignment horizontal="left" vertical="center"/>
    </xf>
    <xf numFmtId="3" fontId="0" fillId="0" borderId="0" xfId="0" applyNumberFormat="1" applyBorder="1" applyAlignment="1">
      <alignment vertical="center"/>
    </xf>
    <xf numFmtId="3" fontId="3" fillId="0" borderId="0" xfId="0" applyNumberFormat="1" applyFont="1" applyBorder="1" applyAlignment="1">
      <alignment vertical="center"/>
    </xf>
    <xf numFmtId="3" fontId="5" fillId="0" borderId="0" xfId="0" applyNumberFormat="1" applyFont="1" applyBorder="1" applyAlignment="1">
      <alignment vertical="center"/>
    </xf>
    <xf numFmtId="3" fontId="5" fillId="0" borderId="2" xfId="0" applyNumberFormat="1" applyFont="1" applyBorder="1" applyAlignment="1">
      <alignment vertical="center"/>
    </xf>
    <xf numFmtId="3" fontId="5" fillId="0" borderId="5" xfId="0" applyNumberFormat="1" applyFont="1" applyBorder="1" applyAlignment="1">
      <alignment vertical="center"/>
    </xf>
    <xf numFmtId="3" fontId="3" fillId="0" borderId="19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3" fontId="3" fillId="0" borderId="10" xfId="0" applyNumberFormat="1" applyFont="1" applyBorder="1" applyAlignment="1">
      <alignment vertical="center"/>
    </xf>
    <xf numFmtId="164" fontId="3" fillId="0" borderId="0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3" fontId="5" fillId="0" borderId="0" xfId="0" applyNumberFormat="1" applyFont="1" applyAlignment="1">
      <alignment vertical="center"/>
    </xf>
    <xf numFmtId="3" fontId="5" fillId="0" borderId="18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vertical="center"/>
    </xf>
    <xf numFmtId="3" fontId="0" fillId="0" borderId="22" xfId="0" applyNumberFormat="1" applyBorder="1" applyAlignment="1">
      <alignment vertical="center"/>
    </xf>
    <xf numFmtId="164" fontId="0" fillId="0" borderId="20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3" fontId="7" fillId="0" borderId="1" xfId="0" applyNumberFormat="1" applyFont="1" applyBorder="1" applyAlignment="1">
      <alignment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3" xfId="0" applyNumberFormat="1" applyFont="1" applyFill="1" applyBorder="1" applyAlignment="1">
      <alignment vertical="center"/>
    </xf>
    <xf numFmtId="3" fontId="3" fillId="0" borderId="23" xfId="0" applyNumberFormat="1" applyFont="1" applyBorder="1" applyAlignment="1">
      <alignment vertical="center"/>
    </xf>
    <xf numFmtId="3" fontId="0" fillId="0" borderId="2" xfId="0" applyNumberFormat="1" applyFont="1" applyBorder="1" applyAlignment="1">
      <alignment vertical="center"/>
    </xf>
    <xf numFmtId="3" fontId="0" fillId="0" borderId="24" xfId="0" applyNumberFormat="1" applyFont="1" applyBorder="1" applyAlignment="1">
      <alignment vertical="center"/>
    </xf>
    <xf numFmtId="3" fontId="0" fillId="0" borderId="1" xfId="0" applyNumberFormat="1" applyFont="1" applyBorder="1" applyAlignment="1">
      <alignment vertical="center"/>
    </xf>
    <xf numFmtId="3" fontId="0" fillId="0" borderId="18" xfId="0" applyNumberFormat="1" applyFont="1" applyFill="1" applyBorder="1" applyAlignment="1">
      <alignment vertical="center"/>
    </xf>
    <xf numFmtId="3" fontId="7" fillId="0" borderId="1" xfId="0" applyNumberFormat="1" applyFont="1" applyFill="1" applyBorder="1" applyAlignment="1">
      <alignment vertical="center"/>
    </xf>
    <xf numFmtId="3" fontId="0" fillId="0" borderId="1" xfId="0" applyNumberFormat="1" applyFont="1" applyFill="1" applyBorder="1" applyAlignment="1">
      <alignment vertical="center"/>
    </xf>
    <xf numFmtId="3" fontId="0" fillId="0" borderId="2" xfId="0" applyNumberFormat="1" applyFont="1" applyFill="1" applyBorder="1" applyAlignment="1">
      <alignment vertical="center"/>
    </xf>
    <xf numFmtId="3" fontId="0" fillId="0" borderId="23" xfId="0" applyNumberFormat="1" applyFont="1" applyFill="1" applyBorder="1" applyAlignment="1">
      <alignment vertical="center"/>
    </xf>
    <xf numFmtId="3" fontId="3" fillId="0" borderId="19" xfId="0" applyNumberFormat="1" applyFont="1" applyFill="1" applyBorder="1" applyAlignment="1">
      <alignment vertical="center"/>
    </xf>
    <xf numFmtId="3" fontId="3" fillId="0" borderId="1" xfId="0" applyNumberFormat="1" applyFont="1" applyFill="1" applyBorder="1" applyAlignment="1">
      <alignment vertical="center"/>
    </xf>
    <xf numFmtId="3" fontId="3" fillId="0" borderId="5" xfId="0" applyNumberFormat="1" applyFont="1" applyBorder="1" applyAlignment="1">
      <alignment horizontal="center" vertical="center"/>
    </xf>
    <xf numFmtId="3" fontId="5" fillId="0" borderId="3" xfId="0" applyNumberFormat="1" applyFont="1" applyBorder="1" applyAlignment="1">
      <alignment vertical="center"/>
    </xf>
    <xf numFmtId="3" fontId="5" fillId="0" borderId="4" xfId="0" applyNumberFormat="1" applyFont="1" applyBorder="1" applyAlignment="1">
      <alignment vertical="center"/>
    </xf>
    <xf numFmtId="3" fontId="5" fillId="0" borderId="25" xfId="0" applyNumberFormat="1" applyFont="1" applyBorder="1" applyAlignment="1">
      <alignment vertical="center"/>
    </xf>
    <xf numFmtId="3" fontId="5" fillId="0" borderId="6" xfId="0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165" fontId="5" fillId="0" borderId="4" xfId="0" applyNumberFormat="1" applyFont="1" applyBorder="1" applyAlignment="1">
      <alignment vertical="center"/>
    </xf>
    <xf numFmtId="165" fontId="3" fillId="0" borderId="4" xfId="0" applyNumberFormat="1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3" fontId="5" fillId="0" borderId="4" xfId="0" applyNumberFormat="1" applyFont="1" applyBorder="1" applyAlignment="1">
      <alignment horizontal="left" vertical="center" indent="2"/>
    </xf>
    <xf numFmtId="3" fontId="5" fillId="0" borderId="21" xfId="0" applyNumberFormat="1" applyFont="1" applyBorder="1" applyAlignment="1">
      <alignment horizontal="left" vertical="center" indent="2"/>
    </xf>
    <xf numFmtId="0" fontId="3" fillId="0" borderId="21" xfId="0" applyFont="1" applyBorder="1" applyAlignment="1">
      <alignment vertical="center"/>
    </xf>
    <xf numFmtId="3" fontId="3" fillId="0" borderId="26" xfId="0" applyNumberFormat="1" applyFont="1" applyBorder="1" applyAlignment="1">
      <alignment vertical="center"/>
    </xf>
    <xf numFmtId="3" fontId="0" fillId="0" borderId="2" xfId="0" applyNumberFormat="1" applyBorder="1" applyAlignment="1">
      <alignment vertical="center"/>
    </xf>
    <xf numFmtId="3" fontId="0" fillId="0" borderId="23" xfId="0" applyNumberFormat="1" applyBorder="1" applyAlignment="1">
      <alignment vertical="center"/>
    </xf>
    <xf numFmtId="3" fontId="5" fillId="0" borderId="23" xfId="0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4" applyFont="1" applyAlignment="1">
      <alignment vertical="center"/>
    </xf>
    <xf numFmtId="1" fontId="5" fillId="0" borderId="2" xfId="4" applyNumberFormat="1" applyFont="1" applyBorder="1" applyAlignment="1">
      <alignment horizontal="center" vertical="center"/>
    </xf>
    <xf numFmtId="0" fontId="5" fillId="0" borderId="1" xfId="4" applyFont="1" applyBorder="1" applyAlignment="1">
      <alignment horizontal="center" vertical="center"/>
    </xf>
    <xf numFmtId="13" fontId="5" fillId="0" borderId="3" xfId="3" applyNumberFormat="1" applyFont="1" applyBorder="1" applyAlignment="1">
      <alignment horizontal="center" vertical="center"/>
    </xf>
    <xf numFmtId="9" fontId="5" fillId="0" borderId="3" xfId="3" applyFont="1" applyBorder="1" applyAlignment="1">
      <alignment horizontal="center" vertical="center"/>
    </xf>
    <xf numFmtId="3" fontId="5" fillId="0" borderId="18" xfId="4" applyNumberFormat="1" applyFont="1" applyBorder="1" applyAlignment="1">
      <alignment vertical="center"/>
    </xf>
    <xf numFmtId="3" fontId="5" fillId="0" borderId="1" xfId="4" applyNumberFormat="1" applyFont="1" applyBorder="1" applyAlignment="1">
      <alignment vertical="center"/>
    </xf>
    <xf numFmtId="164" fontId="5" fillId="0" borderId="3" xfId="3" applyNumberFormat="1" applyFont="1" applyBorder="1" applyAlignment="1">
      <alignment horizontal="center" vertical="center"/>
    </xf>
    <xf numFmtId="0" fontId="5" fillId="0" borderId="23" xfId="4" applyFont="1" applyBorder="1" applyAlignment="1">
      <alignment horizontal="left" vertical="center"/>
    </xf>
    <xf numFmtId="0" fontId="5" fillId="0" borderId="25" xfId="4" applyFont="1" applyBorder="1" applyAlignment="1">
      <alignment horizontal="left" vertical="center"/>
    </xf>
    <xf numFmtId="3" fontId="5" fillId="0" borderId="20" xfId="4" applyNumberFormat="1" applyFont="1" applyBorder="1" applyAlignment="1">
      <alignment vertical="center"/>
    </xf>
    <xf numFmtId="3" fontId="5" fillId="0" borderId="6" xfId="4" applyNumberFormat="1" applyFont="1" applyBorder="1" applyAlignment="1">
      <alignment vertical="center"/>
    </xf>
    <xf numFmtId="164" fontId="5" fillId="0" borderId="19" xfId="3" applyNumberFormat="1" applyFont="1" applyBorder="1" applyAlignment="1">
      <alignment horizontal="center" vertical="center"/>
    </xf>
    <xf numFmtId="3" fontId="5" fillId="0" borderId="21" xfId="4" applyNumberFormat="1" applyFont="1" applyBorder="1" applyAlignment="1">
      <alignment vertical="center"/>
    </xf>
    <xf numFmtId="3" fontId="5" fillId="0" borderId="2" xfId="4" applyNumberFormat="1" applyFont="1" applyBorder="1" applyAlignment="1">
      <alignment vertical="center"/>
    </xf>
    <xf numFmtId="0" fontId="5" fillId="0" borderId="45" xfId="4" applyFont="1" applyBorder="1" applyAlignment="1">
      <alignment horizontal="left" vertical="center"/>
    </xf>
    <xf numFmtId="0" fontId="5" fillId="0" borderId="46" xfId="4" applyFont="1" applyBorder="1" applyAlignment="1">
      <alignment horizontal="left" vertical="center"/>
    </xf>
    <xf numFmtId="3" fontId="5" fillId="0" borderId="14" xfId="4" applyNumberFormat="1" applyFont="1" applyBorder="1" applyAlignment="1">
      <alignment vertical="center"/>
    </xf>
    <xf numFmtId="3" fontId="5" fillId="0" borderId="8" xfId="4" applyNumberFormat="1" applyFont="1" applyBorder="1" applyAlignment="1">
      <alignment vertical="center"/>
    </xf>
    <xf numFmtId="164" fontId="5" fillId="0" borderId="10" xfId="3" applyNumberFormat="1" applyFont="1" applyBorder="1" applyAlignment="1">
      <alignment horizontal="center" vertical="center"/>
    </xf>
    <xf numFmtId="3" fontId="5" fillId="0" borderId="47" xfId="4" applyNumberFormat="1" applyFont="1" applyBorder="1" applyAlignment="1">
      <alignment vertical="center"/>
    </xf>
    <xf numFmtId="0" fontId="5" fillId="0" borderId="45" xfId="4" applyFont="1" applyBorder="1" applyAlignment="1">
      <alignment vertical="center"/>
    </xf>
    <xf numFmtId="0" fontId="5" fillId="0" borderId="46" xfId="4" applyFont="1" applyBorder="1" applyAlignment="1">
      <alignment vertical="center"/>
    </xf>
    <xf numFmtId="3" fontId="5" fillId="0" borderId="38" xfId="4" applyNumberFormat="1" applyFont="1" applyBorder="1" applyAlignment="1">
      <alignment vertical="center"/>
    </xf>
    <xf numFmtId="3" fontId="5" fillId="0" borderId="48" xfId="4" applyNumberFormat="1" applyFont="1" applyBorder="1" applyAlignment="1">
      <alignment vertical="center"/>
    </xf>
    <xf numFmtId="164" fontId="5" fillId="0" borderId="49" xfId="3" applyNumberFormat="1" applyFont="1" applyBorder="1" applyAlignment="1">
      <alignment horizontal="center" vertical="center"/>
    </xf>
    <xf numFmtId="0" fontId="5" fillId="0" borderId="41" xfId="4" applyFont="1" applyBorder="1" applyAlignment="1">
      <alignment vertical="center"/>
    </xf>
    <xf numFmtId="0" fontId="5" fillId="0" borderId="0" xfId="4" applyFont="1" applyBorder="1" applyAlignment="1">
      <alignment vertical="center"/>
    </xf>
    <xf numFmtId="3" fontId="5" fillId="0" borderId="35" xfId="4" applyNumberFormat="1" applyFont="1" applyBorder="1" applyAlignment="1">
      <alignment vertical="center"/>
    </xf>
    <xf numFmtId="3" fontId="5" fillId="0" borderId="50" xfId="4" applyNumberFormat="1" applyFont="1" applyBorder="1" applyAlignment="1">
      <alignment vertical="center"/>
    </xf>
    <xf numFmtId="164" fontId="5" fillId="0" borderId="51" xfId="3" applyNumberFormat="1" applyFont="1" applyBorder="1" applyAlignment="1">
      <alignment horizontal="center" vertical="center"/>
    </xf>
    <xf numFmtId="3" fontId="5" fillId="0" borderId="46" xfId="4" applyNumberFormat="1" applyFont="1" applyBorder="1" applyAlignment="1">
      <alignment vertical="center"/>
    </xf>
    <xf numFmtId="3" fontId="5" fillId="0" borderId="53" xfId="4" applyNumberFormat="1" applyFont="1" applyBorder="1" applyAlignment="1">
      <alignment vertical="center"/>
    </xf>
    <xf numFmtId="164" fontId="5" fillId="0" borderId="54" xfId="3" applyNumberFormat="1" applyFont="1" applyBorder="1" applyAlignment="1">
      <alignment horizontal="center" vertical="center"/>
    </xf>
    <xf numFmtId="0" fontId="5" fillId="0" borderId="0" xfId="4" applyFont="1" applyAlignment="1">
      <alignment horizontal="center" vertical="center"/>
    </xf>
    <xf numFmtId="3" fontId="5" fillId="2" borderId="1" xfId="5" applyNumberFormat="1" applyFont="1" applyFill="1" applyBorder="1" applyAlignment="1">
      <alignment vertical="center"/>
    </xf>
    <xf numFmtId="3" fontId="5" fillId="0" borderId="55" xfId="4" applyNumberFormat="1" applyFont="1" applyBorder="1" applyAlignment="1">
      <alignment vertical="center"/>
    </xf>
    <xf numFmtId="164" fontId="5" fillId="0" borderId="3" xfId="3" applyNumberFormat="1" applyFont="1" applyBorder="1" applyAlignment="1">
      <alignment vertical="center"/>
    </xf>
    <xf numFmtId="3" fontId="5" fillId="0" borderId="5" xfId="4" applyNumberFormat="1" applyFont="1" applyBorder="1" applyAlignment="1">
      <alignment vertical="center"/>
    </xf>
    <xf numFmtId="3" fontId="5" fillId="0" borderId="25" xfId="4" applyNumberFormat="1" applyFont="1" applyBorder="1" applyAlignment="1">
      <alignment vertical="center"/>
    </xf>
    <xf numFmtId="3" fontId="5" fillId="2" borderId="21" xfId="5" applyNumberFormat="1" applyFont="1" applyFill="1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Font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26" xfId="0" applyBorder="1" applyAlignment="1">
      <alignment vertical="center" wrapText="1"/>
    </xf>
    <xf numFmtId="3" fontId="0" fillId="0" borderId="11" xfId="0" applyNumberFormat="1" applyBorder="1" applyAlignment="1">
      <alignment vertical="center" wrapText="1"/>
    </xf>
    <xf numFmtId="3" fontId="0" fillId="0" borderId="12" xfId="0" applyNumberFormat="1" applyBorder="1" applyAlignment="1">
      <alignment vertical="center" wrapText="1"/>
    </xf>
    <xf numFmtId="164" fontId="2" fillId="0" borderId="13" xfId="3" applyNumberFormat="1" applyBorder="1" applyAlignment="1">
      <alignment horizontal="center" vertical="center" wrapText="1"/>
    </xf>
    <xf numFmtId="3" fontId="0" fillId="0" borderId="56" xfId="0" applyNumberFormat="1" applyBorder="1" applyAlignment="1">
      <alignment vertical="center" wrapText="1"/>
    </xf>
    <xf numFmtId="0" fontId="0" fillId="0" borderId="18" xfId="0" applyBorder="1" applyAlignment="1">
      <alignment vertical="center" wrapText="1"/>
    </xf>
    <xf numFmtId="3" fontId="0" fillId="0" borderId="2" xfId="0" applyNumberFormat="1" applyBorder="1" applyAlignment="1">
      <alignment vertical="center" wrapText="1"/>
    </xf>
    <xf numFmtId="164" fontId="2" fillId="0" borderId="3" xfId="3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vertical="center" wrapText="1"/>
    </xf>
    <xf numFmtId="3" fontId="0" fillId="0" borderId="4" xfId="0" applyNumberFormat="1" applyBorder="1" applyAlignment="1">
      <alignment vertical="center" wrapText="1"/>
    </xf>
    <xf numFmtId="0" fontId="0" fillId="0" borderId="23" xfId="0" applyBorder="1" applyAlignment="1">
      <alignment vertical="center" wrapText="1"/>
    </xf>
    <xf numFmtId="3" fontId="0" fillId="0" borderId="20" xfId="0" applyNumberFormat="1" applyBorder="1" applyAlignment="1">
      <alignment vertical="center" wrapText="1"/>
    </xf>
    <xf numFmtId="3" fontId="0" fillId="0" borderId="57" xfId="0" applyNumberFormat="1" applyBorder="1" applyAlignment="1">
      <alignment vertical="center" wrapText="1"/>
    </xf>
    <xf numFmtId="3" fontId="0" fillId="0" borderId="25" xfId="0" applyNumberForma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3" fontId="3" fillId="0" borderId="7" xfId="0" applyNumberFormat="1" applyFont="1" applyBorder="1" applyAlignment="1">
      <alignment vertical="center" wrapText="1"/>
    </xf>
    <xf numFmtId="3" fontId="3" fillId="0" borderId="15" xfId="0" applyNumberFormat="1" applyFont="1" applyBorder="1" applyAlignment="1">
      <alignment vertical="center" wrapText="1"/>
    </xf>
    <xf numFmtId="164" fontId="3" fillId="0" borderId="10" xfId="3" applyNumberFormat="1" applyFont="1" applyBorder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0" fillId="0" borderId="29" xfId="0" applyBorder="1" applyAlignment="1">
      <alignment vertical="center" wrapText="1"/>
    </xf>
    <xf numFmtId="3" fontId="0" fillId="0" borderId="27" xfId="0" applyNumberFormat="1" applyBorder="1" applyAlignment="1">
      <alignment vertical="center" wrapText="1"/>
    </xf>
    <xf numFmtId="3" fontId="0" fillId="0" borderId="32" xfId="0" applyNumberFormat="1" applyBorder="1" applyAlignment="1">
      <alignment vertical="center" wrapText="1"/>
    </xf>
    <xf numFmtId="164" fontId="2" fillId="0" borderId="33" xfId="3" applyNumberFormat="1" applyBorder="1" applyAlignment="1">
      <alignment horizontal="center" vertical="center" wrapText="1"/>
    </xf>
    <xf numFmtId="164" fontId="2" fillId="0" borderId="28" xfId="3" applyNumberFormat="1" applyBorder="1" applyAlignment="1">
      <alignment horizontal="center" vertical="center" wrapText="1"/>
    </xf>
    <xf numFmtId="3" fontId="0" fillId="0" borderId="29" xfId="0" applyNumberFormat="1" applyBorder="1" applyAlignment="1">
      <alignment vertical="center" wrapText="1"/>
    </xf>
    <xf numFmtId="164" fontId="2" fillId="0" borderId="4" xfId="3" applyNumberFormat="1" applyBorder="1" applyAlignment="1">
      <alignment horizontal="center" vertical="center" wrapText="1"/>
    </xf>
    <xf numFmtId="3" fontId="0" fillId="0" borderId="18" xfId="0" applyNumberFormat="1" applyBorder="1" applyAlignment="1">
      <alignment vertical="center" wrapText="1"/>
    </xf>
    <xf numFmtId="3" fontId="3" fillId="0" borderId="9" xfId="0" applyNumberFormat="1" applyFont="1" applyBorder="1" applyAlignment="1">
      <alignment vertical="center" wrapText="1"/>
    </xf>
    <xf numFmtId="164" fontId="3" fillId="0" borderId="8" xfId="3" applyNumberFormat="1" applyFont="1" applyBorder="1" applyAlignment="1">
      <alignment horizontal="center" vertical="center" wrapText="1"/>
    </xf>
    <xf numFmtId="0" fontId="3" fillId="0" borderId="38" xfId="0" applyFont="1" applyBorder="1" applyAlignment="1">
      <alignment vertical="center" wrapText="1"/>
    </xf>
    <xf numFmtId="3" fontId="3" fillId="0" borderId="58" xfId="0" applyNumberFormat="1" applyFont="1" applyBorder="1" applyAlignment="1">
      <alignment vertical="center" wrapText="1"/>
    </xf>
    <xf numFmtId="3" fontId="3" fillId="0" borderId="48" xfId="0" applyNumberFormat="1" applyFont="1" applyBorder="1" applyAlignment="1">
      <alignment vertical="center" wrapText="1"/>
    </xf>
    <xf numFmtId="164" fontId="3" fillId="0" borderId="49" xfId="3" applyNumberFormat="1" applyFont="1" applyBorder="1" applyAlignment="1">
      <alignment horizontal="center" vertical="center" wrapText="1"/>
    </xf>
    <xf numFmtId="3" fontId="3" fillId="0" borderId="59" xfId="0" applyNumberFormat="1" applyFont="1" applyBorder="1" applyAlignment="1">
      <alignment vertical="center" wrapText="1"/>
    </xf>
    <xf numFmtId="164" fontId="3" fillId="0" borderId="55" xfId="3" applyNumberFormat="1" applyFont="1" applyBorder="1" applyAlignment="1">
      <alignment horizontal="center" vertical="center" wrapText="1"/>
    </xf>
    <xf numFmtId="0" fontId="0" fillId="0" borderId="38" xfId="0" applyBorder="1" applyAlignment="1">
      <alignment vertical="center" wrapText="1"/>
    </xf>
    <xf numFmtId="3" fontId="0" fillId="0" borderId="58" xfId="0" applyNumberFormat="1" applyBorder="1" applyAlignment="1">
      <alignment vertical="center" wrapText="1"/>
    </xf>
    <xf numFmtId="3" fontId="0" fillId="0" borderId="48" xfId="0" applyNumberFormat="1" applyBorder="1" applyAlignment="1">
      <alignment vertical="center" wrapText="1"/>
    </xf>
    <xf numFmtId="164" fontId="2" fillId="0" borderId="49" xfId="3" applyNumberFormat="1" applyBorder="1" applyAlignment="1">
      <alignment horizontal="center" vertical="center" wrapText="1"/>
    </xf>
    <xf numFmtId="3" fontId="0" fillId="0" borderId="55" xfId="0" applyNumberForma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6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60" xfId="0" applyNumberFormat="1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4" fontId="0" fillId="0" borderId="60" xfId="0" applyNumberFormat="1" applyBorder="1" applyAlignment="1">
      <alignment horizontal="center" vertical="center"/>
    </xf>
    <xf numFmtId="4" fontId="0" fillId="0" borderId="5" xfId="0" applyNumberFormat="1" applyBorder="1" applyAlignment="1">
      <alignment horizontal="center" vertical="center"/>
    </xf>
    <xf numFmtId="3" fontId="0" fillId="0" borderId="60" xfId="0" applyNumberFormat="1" applyFill="1" applyBorder="1" applyAlignment="1">
      <alignment horizontal="center" vertical="center"/>
    </xf>
    <xf numFmtId="3" fontId="0" fillId="0" borderId="5" xfId="0" applyNumberFormat="1" applyFill="1" applyBorder="1" applyAlignment="1">
      <alignment horizontal="center" vertical="center"/>
    </xf>
    <xf numFmtId="4" fontId="0" fillId="0" borderId="60" xfId="0" applyNumberFormat="1" applyFill="1" applyBorder="1" applyAlignment="1">
      <alignment horizontal="center" vertical="center"/>
    </xf>
    <xf numFmtId="4" fontId="0" fillId="0" borderId="5" xfId="0" applyNumberFormat="1" applyFill="1" applyBorder="1" applyAlignment="1">
      <alignment horizontal="center" vertical="center"/>
    </xf>
    <xf numFmtId="4" fontId="0" fillId="0" borderId="24" xfId="0" applyNumberFormat="1" applyFill="1" applyBorder="1" applyAlignment="1">
      <alignment horizontal="center" vertical="center"/>
    </xf>
    <xf numFmtId="3" fontId="3" fillId="0" borderId="6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3" fontId="0" fillId="0" borderId="1" xfId="0" applyNumberForma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0" fillId="0" borderId="61" xfId="0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0" fontId="0" fillId="0" borderId="64" xfId="0" applyBorder="1" applyAlignment="1">
      <alignment horizontal="center" vertical="center" wrapText="1"/>
    </xf>
    <xf numFmtId="165" fontId="0" fillId="0" borderId="62" xfId="0" applyNumberFormat="1" applyBorder="1" applyAlignment="1">
      <alignment horizontal="center" vertical="center" wrapText="1"/>
    </xf>
    <xf numFmtId="165" fontId="0" fillId="0" borderId="5" xfId="0" applyNumberFormat="1" applyBorder="1" applyAlignment="1">
      <alignment horizontal="center" vertical="center" wrapText="1"/>
    </xf>
    <xf numFmtId="165" fontId="0" fillId="0" borderId="60" xfId="0" applyNumberFormat="1" applyBorder="1" applyAlignment="1">
      <alignment horizontal="center" vertical="center" wrapText="1"/>
    </xf>
    <xf numFmtId="165" fontId="0" fillId="0" borderId="44" xfId="0" applyNumberFormat="1" applyBorder="1" applyAlignment="1">
      <alignment horizontal="center" vertical="center" wrapText="1"/>
    </xf>
    <xf numFmtId="165" fontId="0" fillId="0" borderId="4" xfId="0" applyNumberFormat="1" applyBorder="1" applyAlignment="1">
      <alignment horizontal="center" vertical="center" wrapText="1"/>
    </xf>
    <xf numFmtId="165" fontId="0" fillId="0" borderId="64" xfId="0" applyNumberForma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18" xfId="0" applyFont="1" applyBorder="1" applyAlignment="1">
      <alignment vertical="center" wrapText="1"/>
    </xf>
    <xf numFmtId="166" fontId="3" fillId="0" borderId="0" xfId="0" applyNumberFormat="1" applyFont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165" fontId="3" fillId="0" borderId="65" xfId="0" applyNumberFormat="1" applyFont="1" applyBorder="1" applyAlignment="1">
      <alignment horizontal="center" vertical="center" wrapText="1"/>
    </xf>
    <xf numFmtId="165" fontId="3" fillId="0" borderId="66" xfId="0" applyNumberFormat="1" applyFont="1" applyBorder="1" applyAlignment="1">
      <alignment horizontal="center" vertical="center" wrapText="1"/>
    </xf>
    <xf numFmtId="165" fontId="3" fillId="0" borderId="67" xfId="0" applyNumberFormat="1" applyFont="1" applyBorder="1" applyAlignment="1">
      <alignment horizontal="center" vertical="center" wrapText="1"/>
    </xf>
    <xf numFmtId="165" fontId="3" fillId="0" borderId="68" xfId="0" applyNumberFormat="1" applyFont="1" applyBorder="1" applyAlignment="1">
      <alignment horizontal="center" vertical="center" wrapText="1"/>
    </xf>
    <xf numFmtId="165" fontId="3" fillId="0" borderId="69" xfId="0" applyNumberFormat="1" applyFont="1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165" fontId="4" fillId="0" borderId="18" xfId="0" applyNumberFormat="1" applyFont="1" applyBorder="1" applyAlignment="1">
      <alignment horizontal="center" vertical="center" wrapText="1"/>
    </xf>
    <xf numFmtId="165" fontId="4" fillId="0" borderId="63" xfId="0" applyNumberFormat="1" applyFont="1" applyBorder="1" applyAlignment="1">
      <alignment horizontal="center" vertical="center" wrapText="1"/>
    </xf>
    <xf numFmtId="165" fontId="4" fillId="0" borderId="4" xfId="0" applyNumberFormat="1" applyFont="1" applyBorder="1" applyAlignment="1">
      <alignment horizontal="center" vertical="center" wrapText="1"/>
    </xf>
    <xf numFmtId="165" fontId="4" fillId="0" borderId="61" xfId="0" applyNumberFormat="1" applyFont="1" applyBorder="1" applyAlignment="1">
      <alignment horizontal="center" vertical="center" wrapText="1"/>
    </xf>
    <xf numFmtId="165" fontId="3" fillId="0" borderId="18" xfId="0" applyNumberFormat="1" applyFont="1" applyBorder="1" applyAlignment="1">
      <alignment horizontal="center" vertical="center" wrapText="1"/>
    </xf>
    <xf numFmtId="165" fontId="3" fillId="0" borderId="63" xfId="0" applyNumberFormat="1" applyFont="1" applyBorder="1" applyAlignment="1">
      <alignment horizontal="center" vertical="center" wrapText="1"/>
    </xf>
    <xf numFmtId="165" fontId="0" fillId="0" borderId="18" xfId="0" applyNumberFormat="1" applyBorder="1" applyAlignment="1">
      <alignment horizontal="center" vertical="center" wrapText="1"/>
    </xf>
    <xf numFmtId="165" fontId="11" fillId="0" borderId="14" xfId="0" applyNumberFormat="1" applyFont="1" applyBorder="1" applyAlignment="1">
      <alignment horizontal="center" vertical="center" wrapText="1"/>
    </xf>
    <xf numFmtId="165" fontId="11" fillId="0" borderId="69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center" vertical="center" wrapText="1"/>
    </xf>
    <xf numFmtId="4" fontId="0" fillId="0" borderId="60" xfId="0" applyNumberFormat="1" applyBorder="1" applyAlignment="1">
      <alignment horizontal="center" vertical="center" wrapText="1"/>
    </xf>
    <xf numFmtId="4" fontId="0" fillId="0" borderId="4" xfId="0" applyNumberFormat="1" applyBorder="1" applyAlignment="1">
      <alignment horizontal="center" vertical="center" wrapText="1"/>
    </xf>
    <xf numFmtId="4" fontId="0" fillId="0" borderId="64" xfId="0" applyNumberFormat="1" applyBorder="1" applyAlignment="1">
      <alignment horizontal="center" vertical="center" wrapText="1"/>
    </xf>
    <xf numFmtId="165" fontId="3" fillId="0" borderId="73" xfId="0" applyNumberFormat="1" applyFont="1" applyBorder="1" applyAlignment="1">
      <alignment horizontal="center" vertical="center" wrapText="1"/>
    </xf>
    <xf numFmtId="4" fontId="0" fillId="0" borderId="62" xfId="0" applyNumberForma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3" fontId="0" fillId="0" borderId="18" xfId="0" applyNumberFormat="1" applyBorder="1" applyAlignment="1">
      <alignment vertical="center"/>
    </xf>
    <xf numFmtId="3" fontId="0" fillId="0" borderId="44" xfId="0" applyNumberFormat="1" applyBorder="1" applyAlignment="1">
      <alignment vertical="center"/>
    </xf>
    <xf numFmtId="3" fontId="0" fillId="0" borderId="74" xfId="0" applyNumberFormat="1" applyBorder="1" applyAlignment="1">
      <alignment vertical="center"/>
    </xf>
    <xf numFmtId="3" fontId="0" fillId="0" borderId="18" xfId="0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4" fontId="0" fillId="0" borderId="61" xfId="0" applyNumberFormat="1" applyFill="1" applyBorder="1" applyAlignment="1">
      <alignment horizontal="center" vertical="center"/>
    </xf>
    <xf numFmtId="4" fontId="3" fillId="0" borderId="4" xfId="0" applyNumberFormat="1" applyFont="1" applyBorder="1" applyAlignment="1">
      <alignment horizontal="center" vertical="center"/>
    </xf>
    <xf numFmtId="4" fontId="3" fillId="0" borderId="6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3" fontId="0" fillId="0" borderId="1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9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horizontal="center" vertical="center"/>
    </xf>
    <xf numFmtId="3" fontId="3" fillId="0" borderId="9" xfId="0" applyNumberFormat="1" applyFont="1" applyFill="1" applyBorder="1" applyAlignment="1">
      <alignment vertical="center"/>
    </xf>
    <xf numFmtId="0" fontId="0" fillId="0" borderId="12" xfId="0" applyFill="1" applyBorder="1" applyAlignment="1">
      <alignment vertical="center" wrapText="1"/>
    </xf>
    <xf numFmtId="0" fontId="0" fillId="0" borderId="12" xfId="0" applyFill="1" applyBorder="1" applyAlignment="1">
      <alignment horizontal="center" vertical="center"/>
    </xf>
    <xf numFmtId="3" fontId="0" fillId="0" borderId="12" xfId="0" applyNumberFormat="1" applyFill="1" applyBorder="1" applyAlignment="1">
      <alignment vertical="center"/>
    </xf>
    <xf numFmtId="3" fontId="3" fillId="0" borderId="12" xfId="0" applyNumberFormat="1" applyFont="1" applyFill="1" applyBorder="1" applyAlignment="1">
      <alignment vertical="center"/>
    </xf>
    <xf numFmtId="49" fontId="0" fillId="0" borderId="1" xfId="0" applyNumberFormat="1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2" fontId="0" fillId="0" borderId="0" xfId="0" applyNumberFormat="1" applyFill="1" applyAlignment="1">
      <alignment vertical="center"/>
    </xf>
    <xf numFmtId="0" fontId="0" fillId="0" borderId="0" xfId="0" applyFill="1" applyAlignment="1">
      <alignment horizontal="center" vertical="center"/>
    </xf>
    <xf numFmtId="3" fontId="12" fillId="0" borderId="1" xfId="0" applyNumberFormat="1" applyFont="1" applyFill="1" applyBorder="1" applyAlignment="1">
      <alignment vertical="center" shrinkToFit="1"/>
    </xf>
    <xf numFmtId="3" fontId="13" fillId="0" borderId="1" xfId="0" applyNumberFormat="1" applyFont="1" applyFill="1" applyBorder="1" applyAlignment="1">
      <alignment vertical="center" shrinkToFit="1"/>
    </xf>
    <xf numFmtId="0" fontId="3" fillId="0" borderId="9" xfId="0" applyFont="1" applyFill="1" applyBorder="1" applyAlignment="1">
      <alignment horizontal="center" vertical="center" shrinkToFit="1"/>
    </xf>
    <xf numFmtId="3" fontId="13" fillId="0" borderId="9" xfId="0" applyNumberFormat="1" applyFont="1" applyFill="1" applyBorder="1" applyAlignment="1">
      <alignment vertical="center" shrinkToFit="1"/>
    </xf>
    <xf numFmtId="0" fontId="0" fillId="0" borderId="12" xfId="0" applyFill="1" applyBorder="1" applyAlignment="1">
      <alignment horizontal="center" vertical="center" shrinkToFit="1"/>
    </xf>
    <xf numFmtId="3" fontId="12" fillId="0" borderId="12" xfId="0" applyNumberFormat="1" applyFont="1" applyFill="1" applyBorder="1" applyAlignment="1">
      <alignment vertical="center" shrinkToFit="1"/>
    </xf>
    <xf numFmtId="3" fontId="13" fillId="0" borderId="12" xfId="0" applyNumberFormat="1" applyFont="1" applyFill="1" applyBorder="1" applyAlignment="1">
      <alignment vertical="center" shrinkToFit="1"/>
    </xf>
    <xf numFmtId="0" fontId="0" fillId="0" borderId="1" xfId="0" applyFont="1" applyFill="1" applyBorder="1" applyAlignment="1">
      <alignment vertical="center" wrapText="1"/>
    </xf>
    <xf numFmtId="0" fontId="0" fillId="0" borderId="27" xfId="0" applyBorder="1" applyAlignment="1">
      <alignment horizontal="center" vertical="center" shrinkToFit="1"/>
    </xf>
    <xf numFmtId="0" fontId="0" fillId="0" borderId="32" xfId="0" applyBorder="1" applyAlignment="1">
      <alignment horizontal="center" vertical="center" shrinkToFit="1"/>
    </xf>
    <xf numFmtId="0" fontId="3" fillId="0" borderId="33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3" fillId="0" borderId="9" xfId="0" applyFont="1" applyBorder="1" applyAlignment="1">
      <alignment vertical="center" wrapText="1"/>
    </xf>
    <xf numFmtId="3" fontId="3" fillId="0" borderId="13" xfId="0" applyNumberFormat="1" applyFont="1" applyBorder="1" applyAlignment="1">
      <alignment vertical="center"/>
    </xf>
    <xf numFmtId="0" fontId="14" fillId="0" borderId="80" xfId="6" applyBorder="1" applyAlignment="1">
      <alignment vertical="center"/>
    </xf>
    <xf numFmtId="0" fontId="14" fillId="0" borderId="0" xfId="6" applyAlignment="1">
      <alignment vertical="center"/>
    </xf>
    <xf numFmtId="0" fontId="14" fillId="0" borderId="82" xfId="6" applyFont="1" applyBorder="1" applyAlignment="1">
      <alignment horizontal="center" vertical="center" wrapText="1"/>
    </xf>
    <xf numFmtId="0" fontId="14" fillId="0" borderId="0" xfId="6" applyFont="1" applyAlignment="1">
      <alignment vertical="center"/>
    </xf>
    <xf numFmtId="0" fontId="14" fillId="0" borderId="82" xfId="6" applyBorder="1" applyAlignment="1">
      <alignment horizontal="center" vertical="center"/>
    </xf>
    <xf numFmtId="3" fontId="14" fillId="0" borderId="82" xfId="6" applyNumberFormat="1" applyFont="1" applyBorder="1" applyAlignment="1">
      <alignment horizontal="center" vertical="center" wrapText="1"/>
    </xf>
    <xf numFmtId="0" fontId="15" fillId="0" borderId="82" xfId="6" applyFont="1" applyFill="1" applyBorder="1" applyAlignment="1">
      <alignment vertical="center"/>
    </xf>
    <xf numFmtId="0" fontId="14" fillId="0" borderId="82" xfId="6" applyFill="1" applyBorder="1" applyAlignment="1">
      <alignment horizontal="center" vertical="center"/>
    </xf>
    <xf numFmtId="0" fontId="14" fillId="0" borderId="84" xfId="6" applyBorder="1" applyAlignment="1">
      <alignment vertical="center"/>
    </xf>
    <xf numFmtId="0" fontId="15" fillId="0" borderId="81" xfId="6" applyFont="1" applyBorder="1" applyAlignment="1">
      <alignment vertical="center"/>
    </xf>
    <xf numFmtId="0" fontId="14" fillId="0" borderId="82" xfId="6" applyBorder="1" applyAlignment="1">
      <alignment vertical="center"/>
    </xf>
    <xf numFmtId="3" fontId="14" fillId="0" borderId="82" xfId="6" applyNumberFormat="1" applyBorder="1" applyAlignment="1">
      <alignment vertical="center"/>
    </xf>
    <xf numFmtId="0" fontId="14" fillId="0" borderId="82" xfId="6" applyFill="1" applyBorder="1" applyAlignment="1">
      <alignment vertical="center"/>
    </xf>
    <xf numFmtId="0" fontId="14" fillId="0" borderId="81" xfId="6" applyFont="1" applyFill="1" applyBorder="1" applyAlignment="1">
      <alignment vertical="center"/>
    </xf>
    <xf numFmtId="3" fontId="14" fillId="0" borderId="82" xfId="6" applyNumberFormat="1" applyFill="1" applyBorder="1" applyAlignment="1">
      <alignment vertical="center"/>
    </xf>
    <xf numFmtId="3" fontId="14" fillId="0" borderId="82" xfId="6" applyNumberFormat="1" applyFont="1" applyFill="1" applyBorder="1" applyAlignment="1">
      <alignment vertical="center"/>
    </xf>
    <xf numFmtId="10" fontId="14" fillId="0" borderId="82" xfId="6" applyNumberFormat="1" applyFill="1" applyBorder="1" applyAlignment="1">
      <alignment vertical="center"/>
    </xf>
    <xf numFmtId="3" fontId="15" fillId="0" borderId="82" xfId="6" applyNumberFormat="1" applyFont="1" applyFill="1" applyBorder="1" applyAlignment="1">
      <alignment vertical="center"/>
    </xf>
    <xf numFmtId="3" fontId="15" fillId="0" borderId="84" xfId="6" applyNumberFormat="1" applyFont="1" applyFill="1" applyBorder="1" applyAlignment="1">
      <alignment vertical="center"/>
    </xf>
    <xf numFmtId="0" fontId="14" fillId="0" borderId="0" xfId="6" applyFill="1" applyAlignment="1">
      <alignment vertical="center"/>
    </xf>
    <xf numFmtId="0" fontId="14" fillId="0" borderId="81" xfId="6" applyFont="1" applyBorder="1" applyAlignment="1">
      <alignment vertical="center"/>
    </xf>
    <xf numFmtId="3" fontId="14" fillId="0" borderId="82" xfId="6" applyNumberFormat="1" applyFont="1" applyBorder="1" applyAlignment="1">
      <alignment vertical="center"/>
    </xf>
    <xf numFmtId="0" fontId="14" fillId="0" borderId="81" xfId="6" quotePrefix="1" applyNumberFormat="1" applyFont="1" applyBorder="1" applyAlignment="1">
      <alignment vertical="center" wrapText="1"/>
    </xf>
    <xf numFmtId="167" fontId="14" fillId="3" borderId="82" xfId="6" applyNumberFormat="1" applyFont="1" applyFill="1" applyBorder="1" applyAlignment="1">
      <alignment vertical="center"/>
    </xf>
    <xf numFmtId="0" fontId="15" fillId="0" borderId="81" xfId="6" applyNumberFormat="1" applyFont="1" applyFill="1" applyBorder="1" applyAlignment="1">
      <alignment horizontal="center" vertical="center" wrapText="1"/>
    </xf>
    <xf numFmtId="3" fontId="15" fillId="0" borderId="84" xfId="6" applyNumberFormat="1" applyFont="1" applyBorder="1" applyAlignment="1">
      <alignment vertical="center"/>
    </xf>
    <xf numFmtId="0" fontId="14" fillId="0" borderId="0" xfId="6" applyFont="1" applyFill="1" applyAlignment="1">
      <alignment vertical="center"/>
    </xf>
    <xf numFmtId="0" fontId="14" fillId="0" borderId="81" xfId="6" applyBorder="1" applyAlignment="1">
      <alignment vertical="center"/>
    </xf>
    <xf numFmtId="3" fontId="14" fillId="0" borderId="84" xfId="6" applyNumberFormat="1" applyBorder="1" applyAlignment="1">
      <alignment vertical="center"/>
    </xf>
    <xf numFmtId="0" fontId="15" fillId="0" borderId="82" xfId="6" applyFont="1" applyBorder="1" applyAlignment="1">
      <alignment vertical="center"/>
    </xf>
    <xf numFmtId="3" fontId="15" fillId="0" borderId="82" xfId="6" applyNumberFormat="1" applyFont="1" applyBorder="1" applyAlignment="1">
      <alignment vertical="center"/>
    </xf>
    <xf numFmtId="0" fontId="14" fillId="0" borderId="81" xfId="6" quotePrefix="1" applyNumberFormat="1" applyFont="1" applyFill="1" applyBorder="1" applyAlignment="1">
      <alignment vertical="center" wrapText="1"/>
    </xf>
    <xf numFmtId="0" fontId="14" fillId="0" borderId="82" xfId="6" applyFont="1" applyFill="1" applyBorder="1" applyAlignment="1">
      <alignment vertical="center"/>
    </xf>
    <xf numFmtId="0" fontId="15" fillId="0" borderId="81" xfId="6" applyNumberFormat="1" applyFont="1" applyFill="1" applyBorder="1" applyAlignment="1">
      <alignment vertical="center" wrapText="1"/>
    </xf>
    <xf numFmtId="167" fontId="14" fillId="0" borderId="82" xfId="6" applyNumberFormat="1" applyFont="1" applyBorder="1" applyAlignment="1">
      <alignment vertical="center"/>
    </xf>
    <xf numFmtId="0" fontId="15" fillId="0" borderId="81" xfId="6" applyFont="1" applyBorder="1" applyAlignment="1">
      <alignment vertical="center" wrapText="1"/>
    </xf>
    <xf numFmtId="3" fontId="14" fillId="3" borderId="82" xfId="6" applyNumberFormat="1" applyFont="1" applyFill="1" applyBorder="1" applyAlignment="1">
      <alignment vertical="center"/>
    </xf>
    <xf numFmtId="3" fontId="14" fillId="0" borderId="0" xfId="6" applyNumberFormat="1" applyBorder="1" applyAlignment="1">
      <alignment vertical="center"/>
    </xf>
    <xf numFmtId="3" fontId="15" fillId="0" borderId="82" xfId="6" applyNumberFormat="1" applyFont="1" applyFill="1" applyBorder="1" applyAlignment="1">
      <alignment horizontal="right" vertical="center"/>
    </xf>
    <xf numFmtId="0" fontId="14" fillId="0" borderId="86" xfId="6" applyBorder="1" applyAlignment="1">
      <alignment vertical="center"/>
    </xf>
    <xf numFmtId="168" fontId="15" fillId="0" borderId="87" xfId="6" applyNumberFormat="1" applyFont="1" applyBorder="1" applyAlignment="1">
      <alignment vertical="center"/>
    </xf>
    <xf numFmtId="165" fontId="15" fillId="0" borderId="87" xfId="6" applyNumberFormat="1" applyFont="1" applyBorder="1" applyAlignment="1">
      <alignment vertical="center"/>
    </xf>
    <xf numFmtId="168" fontId="15" fillId="0" borderId="87" xfId="6" applyNumberFormat="1" applyFont="1" applyFill="1" applyBorder="1" applyAlignment="1">
      <alignment vertical="center"/>
    </xf>
    <xf numFmtId="0" fontId="14" fillId="0" borderId="88" xfId="6" applyBorder="1" applyAlignment="1">
      <alignment vertical="center"/>
    </xf>
    <xf numFmtId="3" fontId="14" fillId="0" borderId="0" xfId="6" applyNumberFormat="1" applyAlignment="1">
      <alignment vertical="center"/>
    </xf>
    <xf numFmtId="0" fontId="15" fillId="0" borderId="0" xfId="6" applyFont="1" applyFill="1" applyAlignment="1">
      <alignment vertical="center"/>
    </xf>
    <xf numFmtId="0" fontId="14" fillId="0" borderId="0" xfId="6" applyFill="1" applyBorder="1" applyAlignment="1">
      <alignment vertical="center"/>
    </xf>
    <xf numFmtId="0" fontId="17" fillId="0" borderId="0" xfId="7" applyFont="1" applyBorder="1" applyAlignment="1">
      <alignment horizontal="center" vertical="center"/>
    </xf>
    <xf numFmtId="0" fontId="16" fillId="0" borderId="0" xfId="7" applyAlignment="1">
      <alignment vertical="center"/>
    </xf>
    <xf numFmtId="0" fontId="17" fillId="0" borderId="0" xfId="7" applyFont="1" applyBorder="1" applyAlignment="1">
      <alignment horizontal="center"/>
    </xf>
    <xf numFmtId="0" fontId="18" fillId="0" borderId="76" xfId="7" applyNumberFormat="1" applyFont="1" applyFill="1" applyBorder="1" applyAlignment="1" applyProtection="1">
      <alignment horizontal="center" vertical="center"/>
    </xf>
    <xf numFmtId="0" fontId="17" fillId="0" borderId="77" xfId="7" applyNumberFormat="1" applyFont="1" applyFill="1" applyBorder="1" applyAlignment="1" applyProtection="1">
      <alignment horizontal="center" vertical="center"/>
    </xf>
    <xf numFmtId="14" fontId="19" fillId="0" borderId="77" xfId="7" applyNumberFormat="1" applyFont="1" applyFill="1" applyBorder="1" applyAlignment="1" applyProtection="1">
      <alignment horizontal="center" vertical="center" wrapText="1"/>
    </xf>
    <xf numFmtId="14" fontId="19" fillId="0" borderId="52" xfId="7" applyNumberFormat="1" applyFont="1" applyFill="1" applyBorder="1" applyAlignment="1" applyProtection="1">
      <alignment horizontal="center" vertical="center" wrapText="1"/>
    </xf>
    <xf numFmtId="0" fontId="20" fillId="0" borderId="11" xfId="7" applyNumberFormat="1" applyFont="1" applyBorder="1" applyAlignment="1" applyProtection="1">
      <alignment horizontal="center" vertical="center"/>
    </xf>
    <xf numFmtId="0" fontId="20" fillId="0" borderId="12" xfId="7" applyNumberFormat="1" applyFont="1" applyBorder="1" applyAlignment="1" applyProtection="1">
      <alignment horizontal="left" vertical="center"/>
    </xf>
    <xf numFmtId="3" fontId="21" fillId="0" borderId="32" xfId="7" applyNumberFormat="1" applyFont="1" applyFill="1" applyBorder="1" applyAlignment="1" applyProtection="1">
      <alignment vertical="center"/>
    </xf>
    <xf numFmtId="3" fontId="21" fillId="0" borderId="31" xfId="7" applyNumberFormat="1" applyFont="1" applyFill="1" applyBorder="1" applyAlignment="1" applyProtection="1">
      <alignment vertical="center"/>
    </xf>
    <xf numFmtId="3" fontId="21" fillId="0" borderId="1" xfId="7" applyNumberFormat="1" applyFont="1" applyFill="1" applyBorder="1" applyAlignment="1" applyProtection="1">
      <alignment vertical="center"/>
    </xf>
    <xf numFmtId="3" fontId="21" fillId="0" borderId="44" xfId="7" applyNumberFormat="1" applyFont="1" applyFill="1" applyBorder="1" applyAlignment="1" applyProtection="1">
      <alignment vertical="center"/>
    </xf>
    <xf numFmtId="3" fontId="21" fillId="0" borderId="3" xfId="7" applyNumberFormat="1" applyFont="1" applyFill="1" applyBorder="1" applyAlignment="1" applyProtection="1">
      <alignment vertical="center"/>
    </xf>
    <xf numFmtId="0" fontId="20" fillId="0" borderId="2" xfId="7" applyNumberFormat="1" applyFont="1" applyBorder="1" applyAlignment="1" applyProtection="1">
      <alignment horizontal="center" vertical="center"/>
    </xf>
    <xf numFmtId="0" fontId="20" fillId="0" borderId="1" xfId="7" applyNumberFormat="1" applyFont="1" applyBorder="1" applyAlignment="1" applyProtection="1">
      <alignment horizontal="left" vertical="center"/>
    </xf>
    <xf numFmtId="3" fontId="16" fillId="0" borderId="0" xfId="7" applyNumberFormat="1" applyAlignment="1">
      <alignment vertical="center"/>
    </xf>
    <xf numFmtId="0" fontId="22" fillId="0" borderId="2" xfId="7" applyNumberFormat="1" applyFont="1" applyFill="1" applyBorder="1" applyAlignment="1" applyProtection="1">
      <alignment horizontal="center" vertical="center"/>
    </xf>
    <xf numFmtId="0" fontId="22" fillId="0" borderId="1" xfId="7" applyNumberFormat="1" applyFont="1" applyFill="1" applyBorder="1" applyAlignment="1" applyProtection="1">
      <alignment horizontal="left" vertical="center"/>
    </xf>
    <xf numFmtId="3" fontId="19" fillId="0" borderId="1" xfId="7" applyNumberFormat="1" applyFont="1" applyFill="1" applyBorder="1" applyAlignment="1" applyProtection="1">
      <alignment vertical="center"/>
      <protection locked="0"/>
    </xf>
    <xf numFmtId="3" fontId="19" fillId="0" borderId="44" xfId="7" applyNumberFormat="1" applyFont="1" applyFill="1" applyBorder="1" applyAlignment="1" applyProtection="1">
      <alignment vertical="center"/>
      <protection locked="0"/>
    </xf>
    <xf numFmtId="3" fontId="21" fillId="0" borderId="1" xfId="7" applyNumberFormat="1" applyFont="1" applyFill="1" applyBorder="1" applyAlignment="1" applyProtection="1">
      <alignment vertical="center"/>
      <protection locked="0"/>
    </xf>
    <xf numFmtId="3" fontId="21" fillId="0" borderId="44" xfId="7" applyNumberFormat="1" applyFont="1" applyFill="1" applyBorder="1" applyAlignment="1" applyProtection="1">
      <alignment vertical="center"/>
      <protection locked="0"/>
    </xf>
    <xf numFmtId="0" fontId="23" fillId="0" borderId="1" xfId="7" applyNumberFormat="1" applyFont="1" applyFill="1" applyBorder="1" applyAlignment="1" applyProtection="1">
      <alignment horizontal="left" vertical="center"/>
    </xf>
    <xf numFmtId="3" fontId="21" fillId="2" borderId="1" xfId="7" applyNumberFormat="1" applyFont="1" applyFill="1" applyBorder="1" applyAlignment="1" applyProtection="1">
      <alignment vertical="center"/>
      <protection locked="0"/>
    </xf>
    <xf numFmtId="3" fontId="21" fillId="2" borderId="44" xfId="7" applyNumberFormat="1" applyFont="1" applyFill="1" applyBorder="1" applyAlignment="1" applyProtection="1">
      <alignment vertical="center"/>
      <protection locked="0"/>
    </xf>
    <xf numFmtId="3" fontId="19" fillId="0" borderId="1" xfId="7" applyNumberFormat="1" applyFont="1" applyFill="1" applyBorder="1" applyAlignment="1" applyProtection="1">
      <alignment vertical="center"/>
    </xf>
    <xf numFmtId="3" fontId="19" fillId="0" borderId="44" xfId="7" applyNumberFormat="1" applyFont="1" applyFill="1" applyBorder="1" applyAlignment="1" applyProtection="1">
      <alignment vertical="center"/>
    </xf>
    <xf numFmtId="0" fontId="18" fillId="0" borderId="2" xfId="7" applyNumberFormat="1" applyFont="1" applyBorder="1" applyAlignment="1" applyProtection="1">
      <alignment horizontal="center" vertical="center"/>
    </xf>
    <xf numFmtId="0" fontId="18" fillId="0" borderId="1" xfId="7" applyNumberFormat="1" applyFont="1" applyBorder="1" applyAlignment="1" applyProtection="1">
      <alignment horizontal="left" vertical="center"/>
    </xf>
    <xf numFmtId="3" fontId="19" fillId="0" borderId="1" xfId="7" applyNumberFormat="1" applyFont="1" applyFill="1" applyBorder="1" applyAlignment="1" applyProtection="1">
      <alignment vertical="center" wrapText="1"/>
      <protection locked="0"/>
    </xf>
    <xf numFmtId="3" fontId="19" fillId="0" borderId="44" xfId="7" applyNumberFormat="1" applyFont="1" applyFill="1" applyBorder="1" applyAlignment="1" applyProtection="1">
      <alignment vertical="center" wrapText="1"/>
      <protection locked="0"/>
    </xf>
    <xf numFmtId="0" fontId="20" fillId="0" borderId="1" xfId="7" applyNumberFormat="1" applyFont="1" applyFill="1" applyBorder="1" applyAlignment="1" applyProtection="1">
      <alignment horizontal="left" vertical="center"/>
    </xf>
    <xf numFmtId="3" fontId="24" fillId="0" borderId="1" xfId="7" applyNumberFormat="1" applyFont="1" applyFill="1" applyBorder="1" applyAlignment="1" applyProtection="1">
      <alignment vertical="center"/>
      <protection locked="0"/>
    </xf>
    <xf numFmtId="3" fontId="24" fillId="0" borderId="44" xfId="7" applyNumberFormat="1" applyFont="1" applyFill="1" applyBorder="1" applyAlignment="1" applyProtection="1">
      <alignment vertical="center"/>
      <protection locked="0"/>
    </xf>
    <xf numFmtId="3" fontId="24" fillId="0" borderId="3" xfId="7" applyNumberFormat="1" applyFont="1" applyFill="1" applyBorder="1" applyAlignment="1" applyProtection="1">
      <alignment vertical="center"/>
      <protection locked="0"/>
    </xf>
    <xf numFmtId="0" fontId="18" fillId="0" borderId="7" xfId="7" applyNumberFormat="1" applyFont="1" applyBorder="1" applyAlignment="1" applyProtection="1">
      <alignment horizontal="center" vertical="center"/>
    </xf>
    <xf numFmtId="0" fontId="18" fillId="0" borderId="9" xfId="7" applyNumberFormat="1" applyFont="1" applyBorder="1" applyAlignment="1" applyProtection="1">
      <alignment horizontal="left" vertical="center"/>
    </xf>
    <xf numFmtId="3" fontId="24" fillId="0" borderId="9" xfId="7" applyNumberFormat="1" applyFont="1" applyFill="1" applyBorder="1" applyAlignment="1" applyProtection="1">
      <alignment vertical="center"/>
    </xf>
    <xf numFmtId="3" fontId="24" fillId="0" borderId="16" xfId="7" applyNumberFormat="1" applyFont="1" applyFill="1" applyBorder="1" applyAlignment="1" applyProtection="1">
      <alignment vertical="center"/>
    </xf>
    <xf numFmtId="0" fontId="20" fillId="0" borderId="0" xfId="7" applyNumberFormat="1" applyFont="1" applyFill="1" applyBorder="1" applyAlignment="1" applyProtection="1">
      <alignment horizontal="center" vertical="center"/>
    </xf>
    <xf numFmtId="0" fontId="20" fillId="0" borderId="0" xfId="7" applyNumberFormat="1" applyFont="1" applyFill="1" applyBorder="1" applyAlignment="1" applyProtection="1">
      <alignment horizontal="left" vertical="center"/>
    </xf>
    <xf numFmtId="3" fontId="20" fillId="0" borderId="0" xfId="7" applyNumberFormat="1" applyFont="1" applyFill="1" applyBorder="1" applyAlignment="1" applyProtection="1">
      <alignment vertical="center"/>
      <protection locked="0"/>
    </xf>
    <xf numFmtId="0" fontId="18" fillId="0" borderId="0" xfId="7" applyNumberFormat="1" applyFont="1" applyFill="1" applyBorder="1" applyAlignment="1" applyProtection="1">
      <alignment horizontal="center" vertical="center"/>
    </xf>
    <xf numFmtId="0" fontId="18" fillId="0" borderId="0" xfId="7" applyNumberFormat="1" applyFont="1" applyFill="1" applyBorder="1" applyAlignment="1" applyProtection="1">
      <alignment horizontal="left" vertical="center"/>
    </xf>
    <xf numFmtId="3" fontId="18" fillId="0" borderId="0" xfId="7" applyNumberFormat="1" applyFont="1" applyFill="1" applyBorder="1" applyAlignment="1" applyProtection="1">
      <alignment vertical="center"/>
    </xf>
    <xf numFmtId="0" fontId="20" fillId="0" borderId="0" xfId="7" applyNumberFormat="1" applyFont="1" applyFill="1" applyAlignment="1" applyProtection="1">
      <alignment horizontal="center" vertical="center"/>
    </xf>
    <xf numFmtId="0" fontId="20" fillId="0" borderId="0" xfId="7" applyNumberFormat="1" applyFont="1" applyFill="1" applyAlignment="1" applyProtection="1">
      <alignment vertical="center"/>
    </xf>
    <xf numFmtId="0" fontId="18" fillId="0" borderId="7" xfId="7" applyNumberFormat="1" applyFont="1" applyFill="1" applyBorder="1" applyAlignment="1" applyProtection="1">
      <alignment horizontal="center" vertical="center"/>
    </xf>
    <xf numFmtId="0" fontId="18" fillId="0" borderId="9" xfId="7" applyNumberFormat="1" applyFont="1" applyFill="1" applyBorder="1" applyAlignment="1" applyProtection="1">
      <alignment horizontal="center" vertical="center"/>
    </xf>
    <xf numFmtId="0" fontId="17" fillId="0" borderId="9" xfId="7" applyNumberFormat="1" applyFont="1" applyFill="1" applyBorder="1" applyAlignment="1" applyProtection="1">
      <alignment horizontal="center" vertical="center"/>
    </xf>
    <xf numFmtId="14" fontId="19" fillId="0" borderId="9" xfId="7" applyNumberFormat="1" applyFont="1" applyFill="1" applyBorder="1" applyAlignment="1" applyProtection="1">
      <alignment horizontal="center" vertical="center" wrapText="1"/>
    </xf>
    <xf numFmtId="14" fontId="19" fillId="0" borderId="16" xfId="7" applyNumberFormat="1" applyFont="1" applyFill="1" applyBorder="1" applyAlignment="1" applyProtection="1">
      <alignment horizontal="center" vertical="center" wrapText="1"/>
    </xf>
    <xf numFmtId="0" fontId="18" fillId="0" borderId="2" xfId="7" applyNumberFormat="1" applyFont="1" applyFill="1" applyBorder="1" applyProtection="1"/>
    <xf numFmtId="0" fontId="18" fillId="0" borderId="1" xfId="7" applyNumberFormat="1" applyFont="1" applyFill="1" applyBorder="1" applyAlignment="1" applyProtection="1">
      <alignment horizontal="left"/>
    </xf>
    <xf numFmtId="3" fontId="25" fillId="0" borderId="12" xfId="7" applyNumberFormat="1" applyFont="1" applyFill="1" applyBorder="1" applyProtection="1"/>
    <xf numFmtId="3" fontId="25" fillId="0" borderId="43" xfId="7" applyNumberFormat="1" applyFont="1" applyFill="1" applyBorder="1" applyProtection="1"/>
    <xf numFmtId="0" fontId="16" fillId="0" borderId="0" xfId="7"/>
    <xf numFmtId="0" fontId="26" fillId="0" borderId="2" xfId="7" applyNumberFormat="1" applyFont="1" applyFill="1" applyBorder="1" applyProtection="1"/>
    <xf numFmtId="0" fontId="23" fillId="0" borderId="1" xfId="7" applyNumberFormat="1" applyFont="1" applyFill="1" applyBorder="1" applyAlignment="1" applyProtection="1">
      <alignment horizontal="left"/>
    </xf>
    <xf numFmtId="3" fontId="25" fillId="0" borderId="1" xfId="7" applyNumberFormat="1" applyFont="1" applyFill="1" applyBorder="1" applyProtection="1"/>
    <xf numFmtId="3" fontId="25" fillId="0" borderId="44" xfId="7" applyNumberFormat="1" applyFont="1" applyFill="1" applyBorder="1" applyProtection="1"/>
    <xf numFmtId="0" fontId="20" fillId="0" borderId="2" xfId="7" applyNumberFormat="1" applyFont="1" applyFill="1" applyBorder="1" applyProtection="1"/>
    <xf numFmtId="0" fontId="20" fillId="0" borderId="1" xfId="7" applyNumberFormat="1" applyFont="1" applyFill="1" applyBorder="1" applyAlignment="1" applyProtection="1">
      <alignment horizontal="left"/>
    </xf>
    <xf numFmtId="3" fontId="27" fillId="0" borderId="1" xfId="7" applyNumberFormat="1" applyFont="1" applyFill="1" applyBorder="1" applyProtection="1">
      <protection locked="0"/>
    </xf>
    <xf numFmtId="3" fontId="27" fillId="0" borderId="44" xfId="7" applyNumberFormat="1" applyFont="1" applyFill="1" applyBorder="1" applyProtection="1">
      <protection locked="0"/>
    </xf>
    <xf numFmtId="3" fontId="16" fillId="0" borderId="0" xfId="7" applyNumberFormat="1"/>
    <xf numFmtId="0" fontId="20" fillId="0" borderId="1" xfId="7" applyNumberFormat="1" applyFont="1" applyFill="1" applyBorder="1" applyAlignment="1" applyProtection="1">
      <alignment vertical="center" wrapText="1"/>
    </xf>
    <xf numFmtId="3" fontId="27" fillId="0" borderId="1" xfId="7" applyNumberFormat="1" applyFont="1" applyFill="1" applyBorder="1" applyAlignment="1" applyProtection="1">
      <alignment vertical="center" wrapText="1"/>
      <protection locked="0"/>
    </xf>
    <xf numFmtId="3" fontId="27" fillId="0" borderId="44" xfId="7" applyNumberFormat="1" applyFont="1" applyFill="1" applyBorder="1" applyAlignment="1" applyProtection="1">
      <alignment vertical="center" wrapText="1"/>
      <protection locked="0"/>
    </xf>
    <xf numFmtId="0" fontId="20" fillId="0" borderId="1" xfId="7" applyNumberFormat="1" applyFont="1" applyFill="1" applyBorder="1" applyAlignment="1" applyProtection="1">
      <alignment horizontal="left" wrapText="1"/>
    </xf>
    <xf numFmtId="0" fontId="23" fillId="0" borderId="2" xfId="7" applyNumberFormat="1" applyFont="1" applyFill="1" applyBorder="1" applyProtection="1"/>
    <xf numFmtId="0" fontId="18" fillId="0" borderId="7" xfId="7" applyNumberFormat="1" applyFont="1" applyFill="1" applyBorder="1" applyProtection="1"/>
    <xf numFmtId="0" fontId="18" fillId="0" borderId="9" xfId="7" applyNumberFormat="1" applyFont="1" applyFill="1" applyBorder="1" applyProtection="1"/>
    <xf numFmtId="0" fontId="18" fillId="0" borderId="9" xfId="7" applyNumberFormat="1" applyFont="1" applyFill="1" applyBorder="1" applyAlignment="1" applyProtection="1">
      <alignment horizontal="left"/>
    </xf>
    <xf numFmtId="3" fontId="25" fillId="0" borderId="9" xfId="7" applyNumberFormat="1" applyFont="1" applyFill="1" applyBorder="1" applyProtection="1"/>
    <xf numFmtId="3" fontId="25" fillId="0" borderId="16" xfId="7" applyNumberFormat="1" applyFont="1" applyFill="1" applyBorder="1" applyProtection="1"/>
    <xf numFmtId="0" fontId="20" fillId="0" borderId="0" xfId="7" applyNumberFormat="1" applyFont="1" applyFill="1" applyProtection="1"/>
    <xf numFmtId="0" fontId="27" fillId="0" borderId="0" xfId="7" applyNumberFormat="1" applyFont="1" applyFill="1" applyProtection="1"/>
    <xf numFmtId="14" fontId="24" fillId="0" borderId="9" xfId="7" applyNumberFormat="1" applyFont="1" applyFill="1" applyBorder="1" applyAlignment="1" applyProtection="1">
      <alignment horizontal="center" vertical="center" wrapText="1"/>
    </xf>
    <xf numFmtId="14" fontId="24" fillId="0" borderId="16" xfId="7" applyNumberFormat="1" applyFont="1" applyFill="1" applyBorder="1" applyAlignment="1" applyProtection="1">
      <alignment horizontal="center" vertical="center" wrapText="1"/>
    </xf>
    <xf numFmtId="0" fontId="18" fillId="0" borderId="2" xfId="7" applyNumberFormat="1" applyFont="1" applyFill="1" applyBorder="1" applyAlignment="1" applyProtection="1">
      <alignment vertical="center"/>
    </xf>
    <xf numFmtId="0" fontId="18" fillId="0" borderId="1" xfId="7" applyNumberFormat="1" applyFont="1" applyFill="1" applyBorder="1" applyAlignment="1" applyProtection="1">
      <alignment horizontal="left" vertical="center"/>
    </xf>
    <xf numFmtId="3" fontId="25" fillId="0" borderId="32" xfId="7" applyNumberFormat="1" applyFont="1" applyFill="1" applyBorder="1" applyAlignment="1" applyProtection="1">
      <alignment vertical="center"/>
    </xf>
    <xf numFmtId="3" fontId="25" fillId="0" borderId="31" xfId="7" applyNumberFormat="1" applyFont="1" applyFill="1" applyBorder="1" applyAlignment="1" applyProtection="1">
      <alignment vertical="center"/>
    </xf>
    <xf numFmtId="0" fontId="20" fillId="0" borderId="11" xfId="7" applyNumberFormat="1" applyFont="1" applyFill="1" applyBorder="1" applyAlignment="1" applyProtection="1">
      <alignment vertical="center"/>
    </xf>
    <xf numFmtId="0" fontId="20" fillId="0" borderId="12" xfId="7" applyNumberFormat="1" applyFont="1" applyFill="1" applyBorder="1" applyAlignment="1" applyProtection="1">
      <alignment horizontal="left" vertical="center"/>
    </xf>
    <xf numFmtId="3" fontId="27" fillId="0" borderId="1" xfId="7" applyNumberFormat="1" applyFont="1" applyFill="1" applyBorder="1" applyAlignment="1" applyProtection="1">
      <alignment vertical="center"/>
    </xf>
    <xf numFmtId="3" fontId="27" fillId="0" borderId="44" xfId="7" applyNumberFormat="1" applyFont="1" applyFill="1" applyBorder="1" applyAlignment="1" applyProtection="1">
      <alignment vertical="center"/>
    </xf>
    <xf numFmtId="0" fontId="20" fillId="0" borderId="2" xfId="7" applyNumberFormat="1" applyFont="1" applyFill="1" applyBorder="1" applyAlignment="1" applyProtection="1">
      <alignment vertical="center"/>
    </xf>
    <xf numFmtId="3" fontId="27" fillId="0" borderId="1" xfId="7" applyNumberFormat="1" applyFont="1" applyFill="1" applyBorder="1" applyAlignment="1" applyProtection="1">
      <alignment vertical="center"/>
      <protection locked="0"/>
    </xf>
    <xf numFmtId="3" fontId="27" fillId="0" borderId="44" xfId="7" applyNumberFormat="1" applyFont="1" applyFill="1" applyBorder="1" applyAlignment="1" applyProtection="1">
      <alignment vertical="center"/>
      <protection locked="0"/>
    </xf>
    <xf numFmtId="3" fontId="25" fillId="0" borderId="1" xfId="7" applyNumberFormat="1" applyFont="1" applyFill="1" applyBorder="1" applyAlignment="1" applyProtection="1">
      <alignment vertical="center"/>
    </xf>
    <xf numFmtId="3" fontId="25" fillId="0" borderId="44" xfId="7" applyNumberFormat="1" applyFont="1" applyFill="1" applyBorder="1" applyAlignment="1" applyProtection="1">
      <alignment vertical="center"/>
    </xf>
    <xf numFmtId="0" fontId="23" fillId="0" borderId="2" xfId="7" applyNumberFormat="1" applyFont="1" applyFill="1" applyBorder="1" applyAlignment="1" applyProtection="1">
      <alignment vertical="center"/>
    </xf>
    <xf numFmtId="0" fontId="20" fillId="0" borderId="1" xfId="7" applyNumberFormat="1" applyFont="1" applyFill="1" applyBorder="1" applyAlignment="1" applyProtection="1">
      <alignment vertical="center"/>
    </xf>
    <xf numFmtId="3" fontId="28" fillId="0" borderId="1" xfId="7" applyNumberFormat="1" applyFont="1" applyFill="1" applyBorder="1" applyAlignment="1" applyProtection="1">
      <alignment vertical="center"/>
      <protection locked="0"/>
    </xf>
    <xf numFmtId="3" fontId="28" fillId="0" borderId="44" xfId="7" applyNumberFormat="1" applyFont="1" applyFill="1" applyBorder="1" applyAlignment="1" applyProtection="1">
      <alignment vertical="center"/>
      <protection locked="0"/>
    </xf>
    <xf numFmtId="3" fontId="25" fillId="0" borderId="1" xfId="7" applyNumberFormat="1" applyFont="1" applyFill="1" applyBorder="1" applyAlignment="1" applyProtection="1">
      <alignment vertical="center"/>
      <protection locked="0"/>
    </xf>
    <xf numFmtId="3" fontId="25" fillId="0" borderId="44" xfId="7" applyNumberFormat="1" applyFont="1" applyFill="1" applyBorder="1" applyAlignment="1" applyProtection="1">
      <alignment vertical="center"/>
      <protection locked="0"/>
    </xf>
    <xf numFmtId="0" fontId="18" fillId="0" borderId="1" xfId="7" applyNumberFormat="1" applyFont="1" applyFill="1" applyBorder="1" applyAlignment="1" applyProtection="1">
      <alignment vertical="center"/>
    </xf>
    <xf numFmtId="0" fontId="18" fillId="0" borderId="7" xfId="7" applyNumberFormat="1" applyFont="1" applyFill="1" applyBorder="1" applyAlignment="1" applyProtection="1">
      <alignment vertical="center"/>
    </xf>
    <xf numFmtId="0" fontId="20" fillId="0" borderId="46" xfId="7" applyNumberFormat="1" applyFont="1" applyFill="1" applyBorder="1" applyAlignment="1" applyProtection="1">
      <alignment vertical="center"/>
    </xf>
    <xf numFmtId="0" fontId="18" fillId="0" borderId="9" xfId="7" applyNumberFormat="1" applyFont="1" applyFill="1" applyBorder="1" applyAlignment="1" applyProtection="1">
      <alignment vertical="center"/>
    </xf>
    <xf numFmtId="3" fontId="25" fillId="0" borderId="9" xfId="7" applyNumberFormat="1" applyFont="1" applyFill="1" applyBorder="1" applyAlignment="1" applyProtection="1">
      <alignment vertical="center"/>
      <protection locked="0"/>
    </xf>
    <xf numFmtId="3" fontId="25" fillId="0" borderId="16" xfId="7" applyNumberFormat="1" applyFont="1" applyFill="1" applyBorder="1" applyAlignment="1" applyProtection="1">
      <alignment vertical="center"/>
      <protection locked="0"/>
    </xf>
    <xf numFmtId="0" fontId="20" fillId="0" borderId="35" xfId="7" applyNumberFormat="1" applyFont="1" applyFill="1" applyBorder="1" applyAlignment="1" applyProtection="1">
      <alignment vertical="center"/>
    </xf>
    <xf numFmtId="0" fontId="20" fillId="0" borderId="35" xfId="7" applyNumberFormat="1" applyFont="1" applyFill="1" applyBorder="1" applyAlignment="1" applyProtection="1">
      <alignment horizontal="left" vertical="center"/>
    </xf>
    <xf numFmtId="3" fontId="27" fillId="0" borderId="35" xfId="7" applyNumberFormat="1" applyFont="1" applyFill="1" applyBorder="1" applyAlignment="1" applyProtection="1">
      <alignment vertical="center"/>
      <protection locked="0"/>
    </xf>
    <xf numFmtId="0" fontId="20" fillId="0" borderId="0" xfId="7" applyNumberFormat="1" applyFont="1" applyFill="1" applyBorder="1" applyAlignment="1" applyProtection="1">
      <alignment vertical="center"/>
    </xf>
    <xf numFmtId="3" fontId="27" fillId="0" borderId="0" xfId="7" applyNumberFormat="1" applyFont="1" applyFill="1" applyBorder="1" applyAlignment="1" applyProtection="1">
      <alignment vertical="center"/>
      <protection locked="0"/>
    </xf>
    <xf numFmtId="0" fontId="16" fillId="0" borderId="0" xfId="7" applyBorder="1" applyAlignment="1">
      <alignment vertical="center"/>
    </xf>
    <xf numFmtId="0" fontId="26" fillId="0" borderId="0" xfId="7" applyNumberFormat="1" applyFont="1" applyFill="1" applyBorder="1" applyAlignment="1" applyProtection="1">
      <alignment vertical="center"/>
    </xf>
    <xf numFmtId="0" fontId="23" fillId="0" borderId="0" xfId="7" applyNumberFormat="1" applyFont="1" applyFill="1" applyBorder="1" applyAlignment="1" applyProtection="1">
      <alignment horizontal="left" vertical="center"/>
    </xf>
    <xf numFmtId="3" fontId="25" fillId="0" borderId="0" xfId="7" applyNumberFormat="1" applyFont="1" applyFill="1" applyBorder="1" applyAlignment="1" applyProtection="1">
      <alignment vertical="center"/>
    </xf>
    <xf numFmtId="0" fontId="16" fillId="0" borderId="0" xfId="7" applyFill="1" applyBorder="1" applyAlignment="1">
      <alignment vertical="center"/>
    </xf>
    <xf numFmtId="0" fontId="18" fillId="0" borderId="0" xfId="7" applyNumberFormat="1" applyFont="1" applyFill="1" applyBorder="1" applyAlignment="1" applyProtection="1">
      <alignment vertical="center"/>
    </xf>
    <xf numFmtId="0" fontId="23" fillId="0" borderId="0" xfId="7" applyNumberFormat="1" applyFont="1" applyFill="1" applyBorder="1" applyAlignment="1" applyProtection="1">
      <alignment vertical="center"/>
    </xf>
    <xf numFmtId="0" fontId="27" fillId="0" borderId="0" xfId="7" applyNumberFormat="1" applyFont="1" applyFill="1" applyAlignment="1" applyProtection="1">
      <alignment vertical="center"/>
    </xf>
    <xf numFmtId="3" fontId="0" fillId="0" borderId="0" xfId="0" applyNumberFormat="1"/>
    <xf numFmtId="0" fontId="0" fillId="0" borderId="27" xfId="0" applyBorder="1"/>
    <xf numFmtId="0" fontId="0" fillId="0" borderId="32" xfId="0" applyBorder="1"/>
    <xf numFmtId="0" fontId="3" fillId="0" borderId="32" xfId="0" applyFont="1" applyBorder="1"/>
    <xf numFmtId="0" fontId="3" fillId="0" borderId="33" xfId="0" applyFont="1" applyBorder="1"/>
    <xf numFmtId="0" fontId="0" fillId="0" borderId="2" xfId="0" applyBorder="1"/>
    <xf numFmtId="0" fontId="3" fillId="0" borderId="1" xfId="0" applyFont="1" applyBorder="1"/>
    <xf numFmtId="0" fontId="0" fillId="0" borderId="1" xfId="0" applyBorder="1"/>
    <xf numFmtId="0" fontId="0" fillId="0" borderId="3" xfId="0" applyBorder="1"/>
    <xf numFmtId="0" fontId="11" fillId="0" borderId="2" xfId="0" applyFont="1" applyBorder="1"/>
    <xf numFmtId="3" fontId="0" fillId="0" borderId="3" xfId="0" applyNumberFormat="1" applyBorder="1"/>
    <xf numFmtId="0" fontId="0" fillId="0" borderId="1" xfId="0" applyFont="1" applyBorder="1"/>
    <xf numFmtId="3" fontId="11" fillId="0" borderId="0" xfId="0" applyNumberFormat="1" applyFont="1"/>
    <xf numFmtId="0" fontId="7" fillId="0" borderId="1" xfId="0" applyFont="1" applyBorder="1"/>
    <xf numFmtId="3" fontId="7" fillId="0" borderId="3" xfId="0" applyNumberFormat="1" applyFont="1" applyBorder="1"/>
    <xf numFmtId="0" fontId="3" fillId="0" borderId="2" xfId="0" applyFont="1" applyBorder="1"/>
    <xf numFmtId="0" fontId="11" fillId="0" borderId="20" xfId="0" applyFont="1" applyBorder="1"/>
    <xf numFmtId="0" fontId="0" fillId="0" borderId="6" xfId="0" applyBorder="1"/>
    <xf numFmtId="3" fontId="0" fillId="0" borderId="19" xfId="0" applyNumberFormat="1" applyBorder="1"/>
    <xf numFmtId="0" fontId="3" fillId="0" borderId="20" xfId="0" applyFont="1" applyBorder="1"/>
    <xf numFmtId="0" fontId="0" fillId="0" borderId="20" xfId="0" applyBorder="1"/>
    <xf numFmtId="0" fontId="3" fillId="0" borderId="6" xfId="0" applyFont="1" applyBorder="1"/>
    <xf numFmtId="3" fontId="3" fillId="0" borderId="19" xfId="0" applyNumberFormat="1" applyFont="1" applyBorder="1"/>
    <xf numFmtId="0" fontId="0" fillId="0" borderId="25" xfId="0" applyBorder="1"/>
    <xf numFmtId="3" fontId="0" fillId="0" borderId="25" xfId="0" applyNumberFormat="1" applyBorder="1"/>
    <xf numFmtId="3" fontId="11" fillId="0" borderId="0" xfId="0" applyNumberFormat="1" applyFont="1" applyBorder="1"/>
    <xf numFmtId="0" fontId="0" fillId="0" borderId="0" xfId="0" applyBorder="1"/>
    <xf numFmtId="3" fontId="0" fillId="0" borderId="0" xfId="0" applyNumberFormat="1" applyBorder="1"/>
    <xf numFmtId="0" fontId="0" fillId="0" borderId="46" xfId="0" applyBorder="1"/>
    <xf numFmtId="3" fontId="0" fillId="0" borderId="46" xfId="0" applyNumberFormat="1" applyBorder="1"/>
    <xf numFmtId="0" fontId="3" fillId="0" borderId="11" xfId="0" applyFont="1" applyBorder="1"/>
    <xf numFmtId="0" fontId="3" fillId="0" borderId="12" xfId="0" applyFont="1" applyBorder="1"/>
    <xf numFmtId="0" fontId="0" fillId="0" borderId="12" xfId="0" applyBorder="1"/>
    <xf numFmtId="3" fontId="0" fillId="0" borderId="13" xfId="0" applyNumberFormat="1" applyBorder="1"/>
    <xf numFmtId="3" fontId="0" fillId="0" borderId="1" xfId="0" applyNumberFormat="1" applyBorder="1"/>
    <xf numFmtId="0" fontId="0" fillId="0" borderId="7" xfId="0" applyBorder="1"/>
    <xf numFmtId="0" fontId="0" fillId="0" borderId="9" xfId="0" applyBorder="1"/>
    <xf numFmtId="0" fontId="11" fillId="0" borderId="9" xfId="0" applyFont="1" applyBorder="1"/>
    <xf numFmtId="3" fontId="11" fillId="0" borderId="10" xfId="0" applyNumberFormat="1" applyFont="1" applyBorder="1"/>
    <xf numFmtId="0" fontId="3" fillId="0" borderId="27" xfId="0" applyFont="1" applyBorder="1"/>
    <xf numFmtId="3" fontId="0" fillId="0" borderId="33" xfId="0" applyNumberFormat="1" applyBorder="1"/>
    <xf numFmtId="0" fontId="11" fillId="0" borderId="1" xfId="0" applyFont="1" applyBorder="1"/>
    <xf numFmtId="3" fontId="11" fillId="0" borderId="3" xfId="0" applyNumberFormat="1" applyFont="1" applyBorder="1"/>
    <xf numFmtId="0" fontId="11" fillId="0" borderId="6" xfId="0" applyFont="1" applyBorder="1"/>
    <xf numFmtId="3" fontId="11" fillId="0" borderId="19" xfId="0" applyNumberFormat="1" applyFont="1" applyBorder="1"/>
    <xf numFmtId="0" fontId="11" fillId="0" borderId="1" xfId="0" applyFont="1" applyFill="1" applyBorder="1"/>
    <xf numFmtId="3" fontId="11" fillId="0" borderId="1" xfId="0" applyNumberFormat="1" applyFont="1" applyBorder="1"/>
    <xf numFmtId="0" fontId="11" fillId="0" borderId="0" xfId="0" applyFont="1" applyBorder="1"/>
    <xf numFmtId="0" fontId="11" fillId="0" borderId="0" xfId="0" applyFont="1" applyFill="1" applyBorder="1"/>
    <xf numFmtId="0" fontId="0" fillId="0" borderId="33" xfId="0" applyBorder="1"/>
    <xf numFmtId="3" fontId="0" fillId="0" borderId="3" xfId="0" applyNumberFormat="1" applyFont="1" applyBorder="1"/>
    <xf numFmtId="0" fontId="29" fillId="0" borderId="0" xfId="0" applyFont="1" applyBorder="1"/>
    <xf numFmtId="0" fontId="0" fillId="0" borderId="0" xfId="0" applyAlignment="1">
      <alignment horizontal="right"/>
    </xf>
    <xf numFmtId="0" fontId="30" fillId="0" borderId="93" xfId="0" applyFont="1" applyBorder="1" applyAlignment="1"/>
    <xf numFmtId="0" fontId="3" fillId="0" borderId="94" xfId="0" applyFont="1" applyBorder="1" applyAlignment="1">
      <alignment horizontal="center"/>
    </xf>
    <xf numFmtId="0" fontId="3" fillId="0" borderId="94" xfId="0" applyFont="1" applyFill="1" applyBorder="1" applyAlignment="1">
      <alignment horizontal="center"/>
    </xf>
    <xf numFmtId="0" fontId="3" fillId="0" borderId="95" xfId="0" applyFont="1" applyFill="1" applyBorder="1" applyAlignment="1">
      <alignment horizontal="center"/>
    </xf>
    <xf numFmtId="0" fontId="3" fillId="0" borderId="96" xfId="0" applyFont="1" applyFill="1" applyBorder="1" applyAlignment="1">
      <alignment horizontal="center"/>
    </xf>
    <xf numFmtId="0" fontId="30" fillId="0" borderId="94" xfId="0" applyFont="1" applyBorder="1" applyAlignment="1"/>
    <xf numFmtId="0" fontId="30" fillId="0" borderId="94" xfId="0" applyFont="1" applyFill="1" applyBorder="1" applyAlignment="1"/>
    <xf numFmtId="0" fontId="30" fillId="0" borderId="95" xfId="0" applyFont="1" applyFill="1" applyBorder="1" applyAlignment="1"/>
    <xf numFmtId="0" fontId="30" fillId="0" borderId="96" xfId="0" applyFont="1" applyFill="1" applyBorder="1" applyAlignment="1"/>
    <xf numFmtId="0" fontId="5" fillId="0" borderId="93" xfId="0" applyFont="1" applyBorder="1"/>
    <xf numFmtId="3" fontId="29" fillId="0" borderId="94" xfId="0" applyNumberFormat="1" applyFont="1" applyBorder="1"/>
    <xf numFmtId="3" fontId="0" fillId="0" borderId="94" xfId="0" applyNumberFormat="1" applyBorder="1"/>
    <xf numFmtId="3" fontId="0" fillId="0" borderId="95" xfId="0" applyNumberFormat="1" applyBorder="1"/>
    <xf numFmtId="3" fontId="11" fillId="0" borderId="96" xfId="0" applyNumberFormat="1" applyFont="1" applyBorder="1"/>
    <xf numFmtId="3" fontId="29" fillId="0" borderId="94" xfId="0" applyNumberFormat="1" applyFont="1" applyBorder="1" applyAlignment="1"/>
    <xf numFmtId="3" fontId="29" fillId="0" borderId="94" xfId="0" applyNumberFormat="1" applyFont="1" applyBorder="1" applyAlignment="1">
      <alignment horizontal="right"/>
    </xf>
    <xf numFmtId="3" fontId="5" fillId="0" borderId="94" xfId="0" applyNumberFormat="1" applyFont="1" applyBorder="1"/>
    <xf numFmtId="0" fontId="3" fillId="0" borderId="93" xfId="0" applyFont="1" applyBorder="1"/>
    <xf numFmtId="3" fontId="30" fillId="0" borderId="94" xfId="0" applyNumberFormat="1" applyFont="1" applyBorder="1"/>
    <xf numFmtId="3" fontId="30" fillId="0" borderId="95" xfId="0" applyNumberFormat="1" applyFont="1" applyBorder="1"/>
    <xf numFmtId="3" fontId="30" fillId="0" borderId="96" xfId="0" applyNumberFormat="1" applyFont="1" applyBorder="1"/>
    <xf numFmtId="0" fontId="29" fillId="0" borderId="97" xfId="0" applyFont="1" applyBorder="1"/>
    <xf numFmtId="0" fontId="29" fillId="0" borderId="98" xfId="0" applyFont="1" applyBorder="1"/>
    <xf numFmtId="0" fontId="0" fillId="0" borderId="98" xfId="0" applyBorder="1"/>
    <xf numFmtId="0" fontId="0" fillId="0" borderId="99" xfId="0" applyBorder="1"/>
    <xf numFmtId="0" fontId="0" fillId="0" borderId="100" xfId="0" applyBorder="1"/>
    <xf numFmtId="0" fontId="31" fillId="0" borderId="0" xfId="0" applyFont="1"/>
    <xf numFmtId="0" fontId="3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3" fillId="0" borderId="0" xfId="0" applyFont="1" applyBorder="1"/>
    <xf numFmtId="0" fontId="30" fillId="0" borderId="0" xfId="0" applyFont="1" applyBorder="1" applyAlignment="1"/>
    <xf numFmtId="3" fontId="32" fillId="0" borderId="0" xfId="0" applyNumberFormat="1" applyFont="1" applyAlignment="1">
      <alignment vertical="center" wrapText="1"/>
    </xf>
    <xf numFmtId="3" fontId="12" fillId="0" borderId="0" xfId="0" applyNumberFormat="1" applyFont="1" applyBorder="1"/>
    <xf numFmtId="3" fontId="13" fillId="0" borderId="0" xfId="0" applyNumberFormat="1" applyFont="1"/>
    <xf numFmtId="0" fontId="13" fillId="0" borderId="0" xfId="0" applyFont="1"/>
    <xf numFmtId="0" fontId="0" fillId="0" borderId="1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3" fontId="0" fillId="0" borderId="64" xfId="8" applyFont="1" applyBorder="1" applyAlignment="1">
      <alignment horizontal="center" vertical="center" wrapText="1"/>
    </xf>
    <xf numFmtId="4" fontId="3" fillId="0" borderId="66" xfId="0" applyNumberFormat="1" applyFont="1" applyBorder="1" applyAlignment="1">
      <alignment horizontal="center" vertical="center" wrapText="1"/>
    </xf>
    <xf numFmtId="4" fontId="4" fillId="0" borderId="63" xfId="0" applyNumberFormat="1" applyFont="1" applyBorder="1" applyAlignment="1">
      <alignment horizontal="center" vertical="center" wrapText="1"/>
    </xf>
    <xf numFmtId="0" fontId="5" fillId="0" borderId="18" xfId="4" applyFont="1" applyBorder="1" applyAlignment="1">
      <alignment horizontal="left" vertical="center"/>
    </xf>
    <xf numFmtId="0" fontId="5" fillId="0" borderId="24" xfId="4" applyFont="1" applyBorder="1" applyAlignment="1">
      <alignment horizontal="left" vertical="center"/>
    </xf>
    <xf numFmtId="0" fontId="5" fillId="0" borderId="34" xfId="4" applyFont="1" applyBorder="1" applyAlignment="1">
      <alignment horizontal="center" vertical="center"/>
    </xf>
    <xf numFmtId="0" fontId="5" fillId="0" borderId="35" xfId="4" applyFont="1" applyBorder="1" applyAlignment="1">
      <alignment horizontal="center" vertical="center"/>
    </xf>
    <xf numFmtId="0" fontId="5" fillId="0" borderId="37" xfId="4" applyFont="1" applyBorder="1" applyAlignment="1">
      <alignment horizontal="center" vertical="center"/>
    </xf>
    <xf numFmtId="0" fontId="5" fillId="0" borderId="41" xfId="4" applyFont="1" applyBorder="1" applyAlignment="1">
      <alignment horizontal="center" vertical="center"/>
    </xf>
    <xf numFmtId="0" fontId="5" fillId="0" borderId="0" xfId="4" applyFont="1" applyBorder="1" applyAlignment="1">
      <alignment horizontal="center" vertical="center"/>
    </xf>
    <xf numFmtId="0" fontId="5" fillId="0" borderId="42" xfId="4" applyFont="1" applyBorder="1" applyAlignment="1">
      <alignment horizontal="center" vertical="center"/>
    </xf>
    <xf numFmtId="0" fontId="5" fillId="0" borderId="26" xfId="4" applyFont="1" applyBorder="1" applyAlignment="1">
      <alignment horizontal="center" vertical="center"/>
    </xf>
    <xf numFmtId="0" fontId="5" fillId="0" borderId="36" xfId="4" applyFont="1" applyBorder="1" applyAlignment="1">
      <alignment horizontal="center" vertical="center"/>
    </xf>
    <xf numFmtId="0" fontId="5" fillId="0" borderId="43" xfId="4" applyFont="1" applyBorder="1" applyAlignment="1">
      <alignment horizontal="center" vertical="center"/>
    </xf>
    <xf numFmtId="0" fontId="5" fillId="0" borderId="38" xfId="4" applyFont="1" applyBorder="1" applyAlignment="1">
      <alignment horizontal="center" vertical="center"/>
    </xf>
    <xf numFmtId="0" fontId="5" fillId="0" borderId="39" xfId="4" applyFont="1" applyBorder="1" applyAlignment="1">
      <alignment horizontal="center" vertical="center"/>
    </xf>
    <xf numFmtId="0" fontId="5" fillId="0" borderId="40" xfId="4" applyFont="1" applyBorder="1" applyAlignment="1">
      <alignment horizontal="center" vertical="center"/>
    </xf>
    <xf numFmtId="0" fontId="5" fillId="0" borderId="29" xfId="4" applyFont="1" applyBorder="1" applyAlignment="1">
      <alignment horizontal="center" vertical="center"/>
    </xf>
    <xf numFmtId="0" fontId="5" fillId="0" borderId="30" xfId="4" applyFont="1" applyBorder="1" applyAlignment="1">
      <alignment horizontal="center" vertical="center"/>
    </xf>
    <xf numFmtId="0" fontId="5" fillId="0" borderId="31" xfId="4" applyFont="1" applyBorder="1" applyAlignment="1">
      <alignment horizontal="center" vertical="center"/>
    </xf>
    <xf numFmtId="0" fontId="5" fillId="0" borderId="26" xfId="4" applyFont="1" applyBorder="1" applyAlignment="1">
      <alignment horizontal="left" vertical="center"/>
    </xf>
    <xf numFmtId="0" fontId="5" fillId="0" borderId="36" xfId="4" applyFont="1" applyBorder="1" applyAlignment="1">
      <alignment horizontal="left" vertical="center"/>
    </xf>
    <xf numFmtId="0" fontId="5" fillId="0" borderId="44" xfId="4" applyFont="1" applyBorder="1" applyAlignment="1">
      <alignment horizontal="left" vertical="center"/>
    </xf>
    <xf numFmtId="0" fontId="5" fillId="0" borderId="34" xfId="4" applyFont="1" applyBorder="1" applyAlignment="1">
      <alignment horizontal="left" vertical="center"/>
    </xf>
    <xf numFmtId="0" fontId="5" fillId="0" borderId="35" xfId="4" applyFont="1" applyBorder="1" applyAlignment="1">
      <alignment horizontal="left" vertical="center"/>
    </xf>
    <xf numFmtId="0" fontId="5" fillId="0" borderId="37" xfId="4" applyFont="1" applyBorder="1" applyAlignment="1">
      <alignment horizontal="left" vertical="center"/>
    </xf>
    <xf numFmtId="0" fontId="5" fillId="0" borderId="45" xfId="4" applyFont="1" applyBorder="1" applyAlignment="1">
      <alignment horizontal="left" vertical="center"/>
    </xf>
    <xf numFmtId="0" fontId="5" fillId="0" borderId="46" xfId="4" applyFont="1" applyBorder="1" applyAlignment="1">
      <alignment horizontal="left" vertical="center"/>
    </xf>
    <xf numFmtId="0" fontId="5" fillId="0" borderId="52" xfId="4" applyFont="1" applyBorder="1" applyAlignment="1">
      <alignment horizontal="left" vertical="center"/>
    </xf>
    <xf numFmtId="0" fontId="5" fillId="0" borderId="18" xfId="4" applyFont="1" applyBorder="1" applyAlignment="1">
      <alignment vertical="center"/>
    </xf>
    <xf numFmtId="0" fontId="5" fillId="0" borderId="24" xfId="4" applyFont="1" applyBorder="1" applyAlignment="1">
      <alignment vertical="center"/>
    </xf>
    <xf numFmtId="0" fontId="5" fillId="0" borderId="44" xfId="4" applyFont="1" applyBorder="1" applyAlignment="1">
      <alignment vertical="center"/>
    </xf>
    <xf numFmtId="3" fontId="32" fillId="0" borderId="0" xfId="0" applyNumberFormat="1" applyFont="1" applyAlignment="1">
      <alignment horizontal="center" vertical="center" wrapText="1"/>
    </xf>
    <xf numFmtId="0" fontId="0" fillId="0" borderId="34" xfId="0" applyBorder="1" applyAlignment="1">
      <alignment vertical="center" wrapText="1"/>
    </xf>
    <xf numFmtId="0" fontId="0" fillId="0" borderId="45" xfId="0" applyBorder="1" applyAlignment="1">
      <alignment vertical="center" wrapText="1"/>
    </xf>
    <xf numFmtId="0" fontId="0" fillId="0" borderId="27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9" xfId="0" applyBorder="1" applyAlignment="1">
      <alignment horizontal="center" vertical="center" wrapText="1"/>
    </xf>
    <xf numFmtId="3" fontId="5" fillId="0" borderId="30" xfId="0" applyNumberFormat="1" applyFont="1" applyBorder="1" applyAlignment="1">
      <alignment horizontal="center" vertical="center" wrapText="1"/>
    </xf>
    <xf numFmtId="3" fontId="5" fillId="0" borderId="29" xfId="0" applyNumberFormat="1" applyFont="1" applyBorder="1" applyAlignment="1">
      <alignment horizontal="center" vertical="center" wrapText="1"/>
    </xf>
    <xf numFmtId="3" fontId="5" fillId="0" borderId="31" xfId="0" applyNumberFormat="1" applyFont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0" fillId="0" borderId="1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72" xfId="0" applyBorder="1" applyAlignment="1">
      <alignment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34" xfId="0" applyFont="1" applyBorder="1" applyAlignment="1">
      <alignment horizontal="center" vertical="center" wrapText="1"/>
    </xf>
    <xf numFmtId="0" fontId="0" fillId="0" borderId="37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43" xfId="0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3" fillId="0" borderId="38" xfId="0" applyFont="1" applyBorder="1" applyAlignment="1"/>
    <xf numFmtId="0" fontId="0" fillId="0" borderId="39" xfId="0" applyBorder="1" applyAlignment="1"/>
    <xf numFmtId="0" fontId="0" fillId="0" borderId="40" xfId="0" applyBorder="1" applyAlignment="1"/>
    <xf numFmtId="0" fontId="11" fillId="0" borderId="28" xfId="0" applyFont="1" applyBorder="1" applyAlignment="1"/>
    <xf numFmtId="0" fontId="11" fillId="0" borderId="89" xfId="0" applyFont="1" applyBorder="1" applyAlignment="1"/>
    <xf numFmtId="0" fontId="11" fillId="0" borderId="4" xfId="0" applyFont="1" applyBorder="1" applyAlignment="1"/>
    <xf numFmtId="0" fontId="11" fillId="0" borderId="5" xfId="0" applyFont="1" applyBorder="1" applyAlignment="1"/>
    <xf numFmtId="0" fontId="13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30" fillId="0" borderId="90" xfId="0" applyFont="1" applyBorder="1" applyAlignment="1"/>
    <xf numFmtId="0" fontId="30" fillId="0" borderId="91" xfId="0" applyFont="1" applyBorder="1" applyAlignment="1"/>
    <xf numFmtId="0" fontId="0" fillId="0" borderId="91" xfId="0" applyBorder="1" applyAlignment="1"/>
    <xf numFmtId="0" fontId="0" fillId="0" borderId="92" xfId="0" applyBorder="1" applyAlignment="1"/>
    <xf numFmtId="0" fontId="3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3" fillId="0" borderId="0" xfId="0" applyFont="1" applyAlignment="1"/>
    <xf numFmtId="0" fontId="17" fillId="0" borderId="27" xfId="7" applyFont="1" applyBorder="1" applyAlignment="1">
      <alignment horizontal="center" vertical="center"/>
    </xf>
    <xf numFmtId="0" fontId="17" fillId="0" borderId="32" xfId="7" applyFont="1" applyBorder="1" applyAlignment="1">
      <alignment horizontal="center" vertical="center"/>
    </xf>
    <xf numFmtId="0" fontId="17" fillId="0" borderId="33" xfId="7" applyFont="1" applyBorder="1" applyAlignment="1">
      <alignment horizontal="center" vertical="center"/>
    </xf>
    <xf numFmtId="0" fontId="17" fillId="0" borderId="2" xfId="7" applyFont="1" applyBorder="1" applyAlignment="1">
      <alignment horizontal="center"/>
    </xf>
    <xf numFmtId="0" fontId="17" fillId="0" borderId="1" xfId="7" applyFont="1" applyBorder="1" applyAlignment="1">
      <alignment horizontal="center"/>
    </xf>
    <xf numFmtId="0" fontId="17" fillId="0" borderId="3" xfId="7" applyFont="1" applyBorder="1" applyAlignment="1">
      <alignment horizontal="center"/>
    </xf>
    <xf numFmtId="0" fontId="16" fillId="0" borderId="7" xfId="7" applyBorder="1" applyAlignment="1">
      <alignment horizontal="center" vertical="center"/>
    </xf>
    <xf numFmtId="0" fontId="16" fillId="0" borderId="9" xfId="7" applyBorder="1" applyAlignment="1">
      <alignment horizontal="center" vertical="center"/>
    </xf>
    <xf numFmtId="0" fontId="16" fillId="0" borderId="10" xfId="7" applyBorder="1" applyAlignment="1">
      <alignment horizontal="center" vertical="center"/>
    </xf>
    <xf numFmtId="0" fontId="17" fillId="0" borderId="29" xfId="7" applyFont="1" applyBorder="1" applyAlignment="1">
      <alignment horizontal="center" vertical="center"/>
    </xf>
    <xf numFmtId="0" fontId="17" fillId="0" borderId="30" xfId="7" applyFont="1" applyBorder="1" applyAlignment="1">
      <alignment horizontal="center" vertical="center"/>
    </xf>
    <xf numFmtId="0" fontId="17" fillId="0" borderId="31" xfId="7" applyFont="1" applyBorder="1" applyAlignment="1">
      <alignment horizontal="center" vertical="center"/>
    </xf>
    <xf numFmtId="0" fontId="16" fillId="0" borderId="41" xfId="7" applyBorder="1" applyAlignment="1">
      <alignment horizontal="right" vertical="center"/>
    </xf>
    <xf numFmtId="0" fontId="16" fillId="0" borderId="0" xfId="7" applyAlignment="1">
      <alignment horizontal="right" vertical="center"/>
    </xf>
    <xf numFmtId="0" fontId="21" fillId="0" borderId="18" xfId="7" applyFont="1" applyBorder="1" applyAlignment="1">
      <alignment horizontal="center" vertical="center"/>
    </xf>
    <xf numFmtId="0" fontId="21" fillId="0" borderId="24" xfId="7" applyFont="1" applyBorder="1" applyAlignment="1">
      <alignment horizontal="center" vertical="center"/>
    </xf>
    <xf numFmtId="0" fontId="21" fillId="0" borderId="44" xfId="7" applyFont="1" applyBorder="1" applyAlignment="1">
      <alignment horizontal="center" vertical="center"/>
    </xf>
    <xf numFmtId="0" fontId="18" fillId="0" borderId="18" xfId="7" applyNumberFormat="1" applyFont="1" applyFill="1" applyBorder="1" applyAlignment="1" applyProtection="1">
      <alignment horizontal="center" vertical="center"/>
    </xf>
    <xf numFmtId="0" fontId="16" fillId="0" borderId="24" xfId="7" applyBorder="1" applyAlignment="1">
      <alignment horizontal="center" vertical="center"/>
    </xf>
    <xf numFmtId="0" fontId="16" fillId="0" borderId="5" xfId="7" applyBorder="1" applyAlignment="1">
      <alignment horizontal="center" vertical="center"/>
    </xf>
    <xf numFmtId="0" fontId="17" fillId="0" borderId="4" xfId="7" applyNumberFormat="1" applyFont="1" applyFill="1" applyBorder="1" applyAlignment="1" applyProtection="1">
      <alignment horizontal="center" vertical="center"/>
    </xf>
    <xf numFmtId="0" fontId="17" fillId="0" borderId="44" xfId="7" applyNumberFormat="1" applyFont="1" applyFill="1" applyBorder="1" applyAlignment="1" applyProtection="1">
      <alignment horizontal="center" vertical="center"/>
    </xf>
    <xf numFmtId="0" fontId="0" fillId="0" borderId="2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6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3" fillId="0" borderId="20" xfId="0" applyFont="1" applyBorder="1" applyAlignment="1">
      <alignment vertical="center" wrapText="1"/>
    </xf>
    <xf numFmtId="0" fontId="3" fillId="0" borderId="75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shrinkToFit="1"/>
    </xf>
    <xf numFmtId="0" fontId="3" fillId="0" borderId="22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3" fillId="0" borderId="2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77" xfId="0" applyFont="1" applyBorder="1" applyAlignment="1">
      <alignment horizontal="center" vertical="center" shrinkToFit="1"/>
    </xf>
    <xf numFmtId="49" fontId="0" fillId="0" borderId="6" xfId="0" applyNumberFormat="1" applyBorder="1" applyAlignment="1">
      <alignment vertical="center" wrapText="1"/>
    </xf>
    <xf numFmtId="49" fontId="0" fillId="0" borderId="12" xfId="0" applyNumberFormat="1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22" xfId="0" applyBorder="1" applyAlignment="1">
      <alignment horizontal="center" vertical="center" shrinkToFit="1"/>
    </xf>
    <xf numFmtId="49" fontId="0" fillId="0" borderId="20" xfId="0" applyNumberFormat="1" applyBorder="1" applyAlignment="1">
      <alignment vertical="center" wrapText="1"/>
    </xf>
    <xf numFmtId="49" fontId="0" fillId="0" borderId="11" xfId="0" applyNumberFormat="1" applyBorder="1" applyAlignment="1">
      <alignment vertical="center" wrapText="1"/>
    </xf>
    <xf numFmtId="0" fontId="3" fillId="0" borderId="76" xfId="0" applyFont="1" applyBorder="1" applyAlignment="1">
      <alignment vertical="center" wrapText="1"/>
    </xf>
    <xf numFmtId="0" fontId="15" fillId="0" borderId="84" xfId="6" applyFont="1" applyBorder="1" applyAlignment="1">
      <alignment horizontal="center" vertical="center" wrapText="1"/>
    </xf>
    <xf numFmtId="3" fontId="14" fillId="0" borderId="82" xfId="6" applyNumberFormat="1" applyFont="1" applyBorder="1" applyAlignment="1">
      <alignment horizontal="center" vertical="center" wrapText="1"/>
    </xf>
    <xf numFmtId="0" fontId="14" fillId="0" borderId="82" xfId="6" applyFont="1" applyBorder="1" applyAlignment="1">
      <alignment horizontal="center" vertical="center" wrapText="1"/>
    </xf>
    <xf numFmtId="0" fontId="15" fillId="0" borderId="82" xfId="6" applyFont="1" applyFill="1" applyBorder="1" applyAlignment="1">
      <alignment horizontal="center" vertical="center" wrapText="1"/>
    </xf>
    <xf numFmtId="0" fontId="14" fillId="0" borderId="82" xfId="6" applyFont="1" applyFill="1" applyBorder="1" applyAlignment="1">
      <alignment horizontal="center" vertical="center" wrapText="1"/>
    </xf>
    <xf numFmtId="0" fontId="14" fillId="0" borderId="82" xfId="6" quotePrefix="1" applyFont="1" applyFill="1" applyBorder="1" applyAlignment="1">
      <alignment horizontal="center" vertical="center" wrapText="1"/>
    </xf>
    <xf numFmtId="0" fontId="14" fillId="0" borderId="82" xfId="6" applyBorder="1" applyAlignment="1">
      <alignment horizontal="center" vertical="center" wrapText="1"/>
    </xf>
    <xf numFmtId="49" fontId="14" fillId="0" borderId="83" xfId="6" quotePrefix="1" applyNumberFormat="1" applyFont="1" applyFill="1" applyBorder="1" applyAlignment="1">
      <alignment horizontal="center" vertical="center" wrapText="1"/>
    </xf>
    <xf numFmtId="49" fontId="14" fillId="0" borderId="85" xfId="6" quotePrefix="1" applyNumberFormat="1" applyFont="1" applyFill="1" applyBorder="1" applyAlignment="1">
      <alignment horizontal="center" vertical="center" wrapText="1"/>
    </xf>
    <xf numFmtId="0" fontId="14" fillId="0" borderId="78" xfId="6" applyBorder="1" applyAlignment="1">
      <alignment horizontal="center" vertical="center"/>
    </xf>
    <xf numFmtId="0" fontId="14" fillId="0" borderId="81" xfId="6" applyBorder="1" applyAlignment="1">
      <alignment horizontal="center" vertical="center"/>
    </xf>
    <xf numFmtId="0" fontId="15" fillId="0" borderId="79" xfId="6" applyFont="1" applyBorder="1" applyAlignment="1">
      <alignment horizontal="center" vertical="center"/>
    </xf>
    <xf numFmtId="0" fontId="14" fillId="0" borderId="79" xfId="6" applyBorder="1" applyAlignment="1">
      <alignment vertical="center"/>
    </xf>
    <xf numFmtId="0" fontId="14" fillId="0" borderId="82" xfId="6" applyFont="1" applyBorder="1" applyAlignment="1">
      <alignment vertical="center" wrapText="1"/>
    </xf>
    <xf numFmtId="0" fontId="14" fillId="0" borderId="82" xfId="6" applyBorder="1" applyAlignment="1">
      <alignment vertical="center" wrapText="1"/>
    </xf>
    <xf numFmtId="0" fontId="34" fillId="0" borderId="0" xfId="9" applyFont="1"/>
    <xf numFmtId="0" fontId="1" fillId="0" borderId="0" xfId="9"/>
    <xf numFmtId="0" fontId="35" fillId="0" borderId="0" xfId="9" applyFont="1"/>
    <xf numFmtId="0" fontId="36" fillId="0" borderId="0" xfId="9" applyFont="1"/>
    <xf numFmtId="0" fontId="37" fillId="0" borderId="0" xfId="9" applyFont="1"/>
    <xf numFmtId="0" fontId="38" fillId="0" borderId="0" xfId="9" applyFont="1" applyAlignment="1">
      <alignment horizontal="right"/>
    </xf>
    <xf numFmtId="3" fontId="33" fillId="0" borderId="0" xfId="9" applyNumberFormat="1" applyFont="1" applyAlignment="1">
      <alignment horizontal="right"/>
    </xf>
    <xf numFmtId="3" fontId="33" fillId="0" borderId="0" xfId="9" applyNumberFormat="1" applyFont="1"/>
    <xf numFmtId="10" fontId="33" fillId="0" borderId="0" xfId="9" applyNumberFormat="1" applyFont="1"/>
    <xf numFmtId="3" fontId="1" fillId="0" borderId="0" xfId="9" applyNumberFormat="1" applyAlignment="1">
      <alignment horizontal="right"/>
    </xf>
    <xf numFmtId="10" fontId="1" fillId="0" borderId="0" xfId="9" applyNumberFormat="1"/>
    <xf numFmtId="3" fontId="1" fillId="0" borderId="0" xfId="9" applyNumberFormat="1"/>
    <xf numFmtId="3" fontId="38" fillId="0" borderId="0" xfId="9" applyNumberFormat="1" applyFont="1" applyAlignment="1">
      <alignment horizontal="right"/>
    </xf>
    <xf numFmtId="10" fontId="1" fillId="0" borderId="0" xfId="9" applyNumberFormat="1" applyAlignment="1">
      <alignment horizontal="right"/>
    </xf>
    <xf numFmtId="3" fontId="37" fillId="0" borderId="0" xfId="9" applyNumberFormat="1" applyFont="1"/>
  </cellXfs>
  <cellStyles count="10">
    <cellStyle name="Ezres" xfId="8" builtinId="3"/>
    <cellStyle name="Normál" xfId="0" builtinId="0"/>
    <cellStyle name="Normál 2" xfId="1"/>
    <cellStyle name="Normál 3" xfId="9"/>
    <cellStyle name="Normal_1997os osztalékkorlát" xfId="2"/>
    <cellStyle name="Normál_3STATHO" xfId="5"/>
    <cellStyle name="Normál_6STATHO" xfId="4"/>
    <cellStyle name="Normál_KFT2009 év eredmény2" xfId="6"/>
    <cellStyle name="Normál_KHTmérleg2008év" xfId="7"/>
    <cellStyle name="Százalék" xfId="3" builtinId="5"/>
  </cellStyles>
  <dxfs count="5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ill>
        <patternFill>
          <bgColor rgb="FFFFC000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theme="8" tint="-0.24994659260841701"/>
      </font>
    </dxf>
    <dxf>
      <font>
        <color theme="8" tint="-0.24994659260841701"/>
      </font>
    </dxf>
    <dxf>
      <font>
        <color theme="8" tint="-0.24994659260841701"/>
      </font>
    </dxf>
    <dxf>
      <font>
        <color theme="8" tint="-0.24994659260841701"/>
      </font>
    </dxf>
    <dxf>
      <font>
        <color theme="8" tint="-0.24994659260841701"/>
      </font>
    </dxf>
    <dxf>
      <font>
        <color theme="8" tint="-0.24994659260841701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theme="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zoomScaleNormal="100" workbookViewId="0">
      <selection activeCell="M2" sqref="M2"/>
    </sheetView>
  </sheetViews>
  <sheetFormatPr defaultColWidth="9" defaultRowHeight="13.5" customHeight="1" x14ac:dyDescent="0.2"/>
  <cols>
    <col min="1" max="3" width="9" style="131" customWidth="1"/>
    <col min="4" max="5" width="11.7109375" style="131" customWidth="1"/>
    <col min="6" max="6" width="11.7109375" style="165" customWidth="1"/>
    <col min="7" max="8" width="11.7109375" style="131" customWidth="1"/>
    <col min="9" max="9" width="11.7109375" style="165" customWidth="1"/>
    <col min="10" max="11" width="11.7109375" style="131" customWidth="1"/>
    <col min="12" max="12" width="11.7109375" style="165" customWidth="1"/>
    <col min="13" max="256" width="9" style="131"/>
    <col min="257" max="259" width="9" style="131" customWidth="1"/>
    <col min="260" max="268" width="11.7109375" style="131" customWidth="1"/>
    <col min="269" max="512" width="9" style="131"/>
    <col min="513" max="515" width="9" style="131" customWidth="1"/>
    <col min="516" max="524" width="11.7109375" style="131" customWidth="1"/>
    <col min="525" max="768" width="9" style="131"/>
    <col min="769" max="771" width="9" style="131" customWidth="1"/>
    <col min="772" max="780" width="11.7109375" style="131" customWidth="1"/>
    <col min="781" max="1024" width="9" style="131"/>
    <col min="1025" max="1027" width="9" style="131" customWidth="1"/>
    <col min="1028" max="1036" width="11.7109375" style="131" customWidth="1"/>
    <col min="1037" max="1280" width="9" style="131"/>
    <col min="1281" max="1283" width="9" style="131" customWidth="1"/>
    <col min="1284" max="1292" width="11.7109375" style="131" customWidth="1"/>
    <col min="1293" max="1536" width="9" style="131"/>
    <col min="1537" max="1539" width="9" style="131" customWidth="1"/>
    <col min="1540" max="1548" width="11.7109375" style="131" customWidth="1"/>
    <col min="1549" max="1792" width="9" style="131"/>
    <col min="1793" max="1795" width="9" style="131" customWidth="1"/>
    <col min="1796" max="1804" width="11.7109375" style="131" customWidth="1"/>
    <col min="1805" max="2048" width="9" style="131"/>
    <col min="2049" max="2051" width="9" style="131" customWidth="1"/>
    <col min="2052" max="2060" width="11.7109375" style="131" customWidth="1"/>
    <col min="2061" max="2304" width="9" style="131"/>
    <col min="2305" max="2307" width="9" style="131" customWidth="1"/>
    <col min="2308" max="2316" width="11.7109375" style="131" customWidth="1"/>
    <col min="2317" max="2560" width="9" style="131"/>
    <col min="2561" max="2563" width="9" style="131" customWidth="1"/>
    <col min="2564" max="2572" width="11.7109375" style="131" customWidth="1"/>
    <col min="2573" max="2816" width="9" style="131"/>
    <col min="2817" max="2819" width="9" style="131" customWidth="1"/>
    <col min="2820" max="2828" width="11.7109375" style="131" customWidth="1"/>
    <col min="2829" max="3072" width="9" style="131"/>
    <col min="3073" max="3075" width="9" style="131" customWidth="1"/>
    <col min="3076" max="3084" width="11.7109375" style="131" customWidth="1"/>
    <col min="3085" max="3328" width="9" style="131"/>
    <col min="3329" max="3331" width="9" style="131" customWidth="1"/>
    <col min="3332" max="3340" width="11.7109375" style="131" customWidth="1"/>
    <col min="3341" max="3584" width="9" style="131"/>
    <col min="3585" max="3587" width="9" style="131" customWidth="1"/>
    <col min="3588" max="3596" width="11.7109375" style="131" customWidth="1"/>
    <col min="3597" max="3840" width="9" style="131"/>
    <col min="3841" max="3843" width="9" style="131" customWidth="1"/>
    <col min="3844" max="3852" width="11.7109375" style="131" customWidth="1"/>
    <col min="3853" max="4096" width="9" style="131"/>
    <col min="4097" max="4099" width="9" style="131" customWidth="1"/>
    <col min="4100" max="4108" width="11.7109375" style="131" customWidth="1"/>
    <col min="4109" max="4352" width="9" style="131"/>
    <col min="4353" max="4355" width="9" style="131" customWidth="1"/>
    <col min="4356" max="4364" width="11.7109375" style="131" customWidth="1"/>
    <col min="4365" max="4608" width="9" style="131"/>
    <col min="4609" max="4611" width="9" style="131" customWidth="1"/>
    <col min="4612" max="4620" width="11.7109375" style="131" customWidth="1"/>
    <col min="4621" max="4864" width="9" style="131"/>
    <col min="4865" max="4867" width="9" style="131" customWidth="1"/>
    <col min="4868" max="4876" width="11.7109375" style="131" customWidth="1"/>
    <col min="4877" max="5120" width="9" style="131"/>
    <col min="5121" max="5123" width="9" style="131" customWidth="1"/>
    <col min="5124" max="5132" width="11.7109375" style="131" customWidth="1"/>
    <col min="5133" max="5376" width="9" style="131"/>
    <col min="5377" max="5379" width="9" style="131" customWidth="1"/>
    <col min="5380" max="5388" width="11.7109375" style="131" customWidth="1"/>
    <col min="5389" max="5632" width="9" style="131"/>
    <col min="5633" max="5635" width="9" style="131" customWidth="1"/>
    <col min="5636" max="5644" width="11.7109375" style="131" customWidth="1"/>
    <col min="5645" max="5888" width="9" style="131"/>
    <col min="5889" max="5891" width="9" style="131" customWidth="1"/>
    <col min="5892" max="5900" width="11.7109375" style="131" customWidth="1"/>
    <col min="5901" max="6144" width="9" style="131"/>
    <col min="6145" max="6147" width="9" style="131" customWidth="1"/>
    <col min="6148" max="6156" width="11.7109375" style="131" customWidth="1"/>
    <col min="6157" max="6400" width="9" style="131"/>
    <col min="6401" max="6403" width="9" style="131" customWidth="1"/>
    <col min="6404" max="6412" width="11.7109375" style="131" customWidth="1"/>
    <col min="6413" max="6656" width="9" style="131"/>
    <col min="6657" max="6659" width="9" style="131" customWidth="1"/>
    <col min="6660" max="6668" width="11.7109375" style="131" customWidth="1"/>
    <col min="6669" max="6912" width="9" style="131"/>
    <col min="6913" max="6915" width="9" style="131" customWidth="1"/>
    <col min="6916" max="6924" width="11.7109375" style="131" customWidth="1"/>
    <col min="6925" max="7168" width="9" style="131"/>
    <col min="7169" max="7171" width="9" style="131" customWidth="1"/>
    <col min="7172" max="7180" width="11.7109375" style="131" customWidth="1"/>
    <col min="7181" max="7424" width="9" style="131"/>
    <col min="7425" max="7427" width="9" style="131" customWidth="1"/>
    <col min="7428" max="7436" width="11.7109375" style="131" customWidth="1"/>
    <col min="7437" max="7680" width="9" style="131"/>
    <col min="7681" max="7683" width="9" style="131" customWidth="1"/>
    <col min="7684" max="7692" width="11.7109375" style="131" customWidth="1"/>
    <col min="7693" max="7936" width="9" style="131"/>
    <col min="7937" max="7939" width="9" style="131" customWidth="1"/>
    <col min="7940" max="7948" width="11.7109375" style="131" customWidth="1"/>
    <col min="7949" max="8192" width="9" style="131"/>
    <col min="8193" max="8195" width="9" style="131" customWidth="1"/>
    <col min="8196" max="8204" width="11.7109375" style="131" customWidth="1"/>
    <col min="8205" max="8448" width="9" style="131"/>
    <col min="8449" max="8451" width="9" style="131" customWidth="1"/>
    <col min="8452" max="8460" width="11.7109375" style="131" customWidth="1"/>
    <col min="8461" max="8704" width="9" style="131"/>
    <col min="8705" max="8707" width="9" style="131" customWidth="1"/>
    <col min="8708" max="8716" width="11.7109375" style="131" customWidth="1"/>
    <col min="8717" max="8960" width="9" style="131"/>
    <col min="8961" max="8963" width="9" style="131" customWidth="1"/>
    <col min="8964" max="8972" width="11.7109375" style="131" customWidth="1"/>
    <col min="8973" max="9216" width="9" style="131"/>
    <col min="9217" max="9219" width="9" style="131" customWidth="1"/>
    <col min="9220" max="9228" width="11.7109375" style="131" customWidth="1"/>
    <col min="9229" max="9472" width="9" style="131"/>
    <col min="9473" max="9475" width="9" style="131" customWidth="1"/>
    <col min="9476" max="9484" width="11.7109375" style="131" customWidth="1"/>
    <col min="9485" max="9728" width="9" style="131"/>
    <col min="9729" max="9731" width="9" style="131" customWidth="1"/>
    <col min="9732" max="9740" width="11.7109375" style="131" customWidth="1"/>
    <col min="9741" max="9984" width="9" style="131"/>
    <col min="9985" max="9987" width="9" style="131" customWidth="1"/>
    <col min="9988" max="9996" width="11.7109375" style="131" customWidth="1"/>
    <col min="9997" max="10240" width="9" style="131"/>
    <col min="10241" max="10243" width="9" style="131" customWidth="1"/>
    <col min="10244" max="10252" width="11.7109375" style="131" customWidth="1"/>
    <col min="10253" max="10496" width="9" style="131"/>
    <col min="10497" max="10499" width="9" style="131" customWidth="1"/>
    <col min="10500" max="10508" width="11.7109375" style="131" customWidth="1"/>
    <col min="10509" max="10752" width="9" style="131"/>
    <col min="10753" max="10755" width="9" style="131" customWidth="1"/>
    <col min="10756" max="10764" width="11.7109375" style="131" customWidth="1"/>
    <col min="10765" max="11008" width="9" style="131"/>
    <col min="11009" max="11011" width="9" style="131" customWidth="1"/>
    <col min="11012" max="11020" width="11.7109375" style="131" customWidth="1"/>
    <col min="11021" max="11264" width="9" style="131"/>
    <col min="11265" max="11267" width="9" style="131" customWidth="1"/>
    <col min="11268" max="11276" width="11.7109375" style="131" customWidth="1"/>
    <col min="11277" max="11520" width="9" style="131"/>
    <col min="11521" max="11523" width="9" style="131" customWidth="1"/>
    <col min="11524" max="11532" width="11.7109375" style="131" customWidth="1"/>
    <col min="11533" max="11776" width="9" style="131"/>
    <col min="11777" max="11779" width="9" style="131" customWidth="1"/>
    <col min="11780" max="11788" width="11.7109375" style="131" customWidth="1"/>
    <col min="11789" max="12032" width="9" style="131"/>
    <col min="12033" max="12035" width="9" style="131" customWidth="1"/>
    <col min="12036" max="12044" width="11.7109375" style="131" customWidth="1"/>
    <col min="12045" max="12288" width="9" style="131"/>
    <col min="12289" max="12291" width="9" style="131" customWidth="1"/>
    <col min="12292" max="12300" width="11.7109375" style="131" customWidth="1"/>
    <col min="12301" max="12544" width="9" style="131"/>
    <col min="12545" max="12547" width="9" style="131" customWidth="1"/>
    <col min="12548" max="12556" width="11.7109375" style="131" customWidth="1"/>
    <col min="12557" max="12800" width="9" style="131"/>
    <col min="12801" max="12803" width="9" style="131" customWidth="1"/>
    <col min="12804" max="12812" width="11.7109375" style="131" customWidth="1"/>
    <col min="12813" max="13056" width="9" style="131"/>
    <col min="13057" max="13059" width="9" style="131" customWidth="1"/>
    <col min="13060" max="13068" width="11.7109375" style="131" customWidth="1"/>
    <col min="13069" max="13312" width="9" style="131"/>
    <col min="13313" max="13315" width="9" style="131" customWidth="1"/>
    <col min="13316" max="13324" width="11.7109375" style="131" customWidth="1"/>
    <col min="13325" max="13568" width="9" style="131"/>
    <col min="13569" max="13571" width="9" style="131" customWidth="1"/>
    <col min="13572" max="13580" width="11.7109375" style="131" customWidth="1"/>
    <col min="13581" max="13824" width="9" style="131"/>
    <col min="13825" max="13827" width="9" style="131" customWidth="1"/>
    <col min="13828" max="13836" width="11.7109375" style="131" customWidth="1"/>
    <col min="13837" max="14080" width="9" style="131"/>
    <col min="14081" max="14083" width="9" style="131" customWidth="1"/>
    <col min="14084" max="14092" width="11.7109375" style="131" customWidth="1"/>
    <col min="14093" max="14336" width="9" style="131"/>
    <col min="14337" max="14339" width="9" style="131" customWidth="1"/>
    <col min="14340" max="14348" width="11.7109375" style="131" customWidth="1"/>
    <col min="14349" max="14592" width="9" style="131"/>
    <col min="14593" max="14595" width="9" style="131" customWidth="1"/>
    <col min="14596" max="14604" width="11.7109375" style="131" customWidth="1"/>
    <col min="14605" max="14848" width="9" style="131"/>
    <col min="14849" max="14851" width="9" style="131" customWidth="1"/>
    <col min="14852" max="14860" width="11.7109375" style="131" customWidth="1"/>
    <col min="14861" max="15104" width="9" style="131"/>
    <col min="15105" max="15107" width="9" style="131" customWidth="1"/>
    <col min="15108" max="15116" width="11.7109375" style="131" customWidth="1"/>
    <col min="15117" max="15360" width="9" style="131"/>
    <col min="15361" max="15363" width="9" style="131" customWidth="1"/>
    <col min="15364" max="15372" width="11.7109375" style="131" customWidth="1"/>
    <col min="15373" max="15616" width="9" style="131"/>
    <col min="15617" max="15619" width="9" style="131" customWidth="1"/>
    <col min="15620" max="15628" width="11.7109375" style="131" customWidth="1"/>
    <col min="15629" max="15872" width="9" style="131"/>
    <col min="15873" max="15875" width="9" style="131" customWidth="1"/>
    <col min="15876" max="15884" width="11.7109375" style="131" customWidth="1"/>
    <col min="15885" max="16128" width="9" style="131"/>
    <col min="16129" max="16131" width="9" style="131" customWidth="1"/>
    <col min="16132" max="16140" width="11.7109375" style="131" customWidth="1"/>
    <col min="16141" max="16384" width="9" style="131"/>
  </cols>
  <sheetData>
    <row r="1" spans="1:12" ht="13.5" customHeight="1" thickBot="1" x14ac:dyDescent="0.25">
      <c r="A1" s="583" t="s">
        <v>133</v>
      </c>
      <c r="B1" s="584"/>
      <c r="C1" s="585"/>
      <c r="D1" s="592" t="s">
        <v>134</v>
      </c>
      <c r="E1" s="593"/>
      <c r="F1" s="594"/>
      <c r="G1" s="593" t="s">
        <v>135</v>
      </c>
      <c r="H1" s="593"/>
      <c r="I1" s="594"/>
      <c r="J1" s="593" t="s">
        <v>136</v>
      </c>
      <c r="K1" s="593"/>
      <c r="L1" s="594"/>
    </row>
    <row r="2" spans="1:12" ht="13.5" customHeight="1" x14ac:dyDescent="0.2">
      <c r="A2" s="586"/>
      <c r="B2" s="587"/>
      <c r="C2" s="588"/>
      <c r="D2" s="589" t="s">
        <v>137</v>
      </c>
      <c r="E2" s="590"/>
      <c r="F2" s="591"/>
      <c r="G2" s="595" t="s">
        <v>138</v>
      </c>
      <c r="H2" s="596"/>
      <c r="I2" s="597"/>
      <c r="J2" s="595" t="s">
        <v>138</v>
      </c>
      <c r="K2" s="596"/>
      <c r="L2" s="597"/>
    </row>
    <row r="3" spans="1:12" ht="13.5" customHeight="1" x14ac:dyDescent="0.2">
      <c r="A3" s="589"/>
      <c r="B3" s="590"/>
      <c r="C3" s="591"/>
      <c r="D3" s="132">
        <v>2015</v>
      </c>
      <c r="E3" s="133">
        <v>2016</v>
      </c>
      <c r="F3" s="134" t="s">
        <v>139</v>
      </c>
      <c r="G3" s="132">
        <v>2015</v>
      </c>
      <c r="H3" s="133">
        <v>2016</v>
      </c>
      <c r="I3" s="135" t="s">
        <v>139</v>
      </c>
      <c r="J3" s="132">
        <v>2015</v>
      </c>
      <c r="K3" s="133">
        <v>2016</v>
      </c>
      <c r="L3" s="135" t="s">
        <v>139</v>
      </c>
    </row>
    <row r="4" spans="1:12" ht="13.5" customHeight="1" x14ac:dyDescent="0.2">
      <c r="A4" s="598" t="s">
        <v>140</v>
      </c>
      <c r="B4" s="599"/>
      <c r="C4" s="599"/>
      <c r="D4" s="136">
        <f>'1 (szegedi)'!D4+'1 (visegrádi)'!D4</f>
        <v>2302</v>
      </c>
      <c r="E4" s="137">
        <f>'1 (szegedi)'!E4+'1 (visegrádi)'!E4</f>
        <v>1828</v>
      </c>
      <c r="F4" s="138">
        <f t="shared" ref="F4:F28" si="0">E4/D4</f>
        <v>0.79409209383145096</v>
      </c>
      <c r="G4" s="136">
        <f>'1 (szegedi)'!G4+'1 (visegrádi)'!G4</f>
        <v>6213</v>
      </c>
      <c r="H4" s="137">
        <f>'1 (szegedi)'!H4+'1 (visegrádi)'!H4</f>
        <v>4688</v>
      </c>
      <c r="I4" s="138">
        <f t="shared" ref="I4:I28" si="1">H4/G4</f>
        <v>0.75454691775309835</v>
      </c>
      <c r="J4" s="136">
        <f>'1 (szegedi)'!J4+'1 (visegrádi)'!J4</f>
        <v>2387194</v>
      </c>
      <c r="K4" s="137">
        <f>'1 (szegedi)'!K4+'1 (visegrádi)'!K4</f>
        <v>1861549</v>
      </c>
      <c r="L4" s="138">
        <f t="shared" ref="L4:L28" si="2">K4/J4</f>
        <v>0.77980633329339799</v>
      </c>
    </row>
    <row r="5" spans="1:12" ht="13.5" customHeight="1" x14ac:dyDescent="0.2">
      <c r="A5" s="598" t="s">
        <v>141</v>
      </c>
      <c r="B5" s="599"/>
      <c r="C5" s="599"/>
      <c r="D5" s="136">
        <f>'1 (szegedi)'!D5+'1 (visegrádi)'!D5</f>
        <v>3544</v>
      </c>
      <c r="E5" s="137">
        <f>'1 (szegedi)'!E5+'1 (visegrádi)'!E5</f>
        <v>3304</v>
      </c>
      <c r="F5" s="138">
        <f t="shared" si="0"/>
        <v>0.93227990970654628</v>
      </c>
      <c r="G5" s="136">
        <f>'1 (szegedi)'!G5+'1 (visegrádi)'!G5</f>
        <v>9759</v>
      </c>
      <c r="H5" s="137">
        <f>'1 (szegedi)'!H5+'1 (visegrádi)'!H5</f>
        <v>9175</v>
      </c>
      <c r="I5" s="138">
        <f t="shared" si="1"/>
        <v>0.94015780305359153</v>
      </c>
      <c r="J5" s="136">
        <f>'1 (szegedi)'!J5+'1 (visegrádi)'!J5</f>
        <v>1614474</v>
      </c>
      <c r="K5" s="137">
        <f>'1 (szegedi)'!K5+'1 (visegrádi)'!K5</f>
        <v>1533960</v>
      </c>
      <c r="L5" s="138">
        <f t="shared" si="2"/>
        <v>0.95012988750515648</v>
      </c>
    </row>
    <row r="6" spans="1:12" ht="13.5" customHeight="1" x14ac:dyDescent="0.2">
      <c r="A6" s="598" t="s">
        <v>142</v>
      </c>
      <c r="B6" s="599"/>
      <c r="C6" s="599"/>
      <c r="D6" s="136">
        <f>'1 (szegedi)'!D6+'1 (visegrádi)'!D6</f>
        <v>2830</v>
      </c>
      <c r="E6" s="137">
        <f>'1 (szegedi)'!E6+'1 (visegrádi)'!E6</f>
        <v>3493</v>
      </c>
      <c r="F6" s="138">
        <f t="shared" si="0"/>
        <v>1.2342756183745582</v>
      </c>
      <c r="G6" s="136">
        <f>'1 (szegedi)'!G6+'1 (visegrádi)'!G6</f>
        <v>5391</v>
      </c>
      <c r="H6" s="137">
        <f>'1 (szegedi)'!H6+'1 (visegrádi)'!H6</f>
        <v>7533</v>
      </c>
      <c r="I6" s="138">
        <f t="shared" si="1"/>
        <v>1.3973288814691152</v>
      </c>
      <c r="J6" s="136">
        <f>'1 (szegedi)'!J6+'1 (visegrádi)'!J6</f>
        <v>5959166</v>
      </c>
      <c r="K6" s="137">
        <f>'1 (szegedi)'!K6+'1 (visegrádi)'!K6</f>
        <v>9343843</v>
      </c>
      <c r="L6" s="138">
        <f t="shared" si="2"/>
        <v>1.5679783043466149</v>
      </c>
    </row>
    <row r="7" spans="1:12" ht="13.5" customHeight="1" x14ac:dyDescent="0.2">
      <c r="A7" s="581" t="s">
        <v>143</v>
      </c>
      <c r="B7" s="582"/>
      <c r="C7" s="582"/>
      <c r="D7" s="136">
        <f>'1 (szegedi)'!D7+'1 (visegrádi)'!D7</f>
        <v>11871</v>
      </c>
      <c r="E7" s="137">
        <f>'1 (szegedi)'!E7+'1 (visegrádi)'!E7</f>
        <v>12404</v>
      </c>
      <c r="F7" s="138">
        <f t="shared" si="0"/>
        <v>1.044899334512678</v>
      </c>
      <c r="G7" s="136">
        <f>'1 (szegedi)'!G7+'1 (visegrádi)'!G7</f>
        <v>29849</v>
      </c>
      <c r="H7" s="137">
        <f>'1 (szegedi)'!H7+'1 (visegrádi)'!H7</f>
        <v>32544</v>
      </c>
      <c r="I7" s="138">
        <f t="shared" si="1"/>
        <v>1.0902877818352374</v>
      </c>
      <c r="J7" s="136">
        <f>'1 (szegedi)'!J7+'1 (visegrádi)'!J7</f>
        <v>23822426</v>
      </c>
      <c r="K7" s="137">
        <f>'1 (szegedi)'!K7+'1 (visegrádi)'!K7</f>
        <v>26443692</v>
      </c>
      <c r="L7" s="138">
        <f t="shared" si="2"/>
        <v>1.1100335457018526</v>
      </c>
    </row>
    <row r="8" spans="1:12" ht="13.5" customHeight="1" x14ac:dyDescent="0.2">
      <c r="A8" s="581" t="s">
        <v>144</v>
      </c>
      <c r="B8" s="582"/>
      <c r="C8" s="582"/>
      <c r="D8" s="136">
        <f>'1 (szegedi)'!D8+'1 (visegrádi)'!D8</f>
        <v>23786</v>
      </c>
      <c r="E8" s="137">
        <f>'1 (szegedi)'!E8+'1 (visegrádi)'!E8</f>
        <v>22348</v>
      </c>
      <c r="F8" s="138">
        <f t="shared" si="0"/>
        <v>0.93954426973850169</v>
      </c>
      <c r="G8" s="136">
        <f>'1 (szegedi)'!G8+'1 (visegrádi)'!G8</f>
        <v>114916</v>
      </c>
      <c r="H8" s="137">
        <f>'1 (szegedi)'!H8+'1 (visegrádi)'!H8</f>
        <v>100812</v>
      </c>
      <c r="I8" s="138">
        <f t="shared" si="1"/>
        <v>0.87726687319433327</v>
      </c>
      <c r="J8" s="136">
        <f>'1 (szegedi)'!J8+'1 (visegrádi)'!J8</f>
        <v>37941280</v>
      </c>
      <c r="K8" s="137">
        <f>'1 (szegedi)'!K8+'1 (visegrádi)'!K8</f>
        <v>34014490</v>
      </c>
      <c r="L8" s="138">
        <f t="shared" si="2"/>
        <v>0.89650349171140242</v>
      </c>
    </row>
    <row r="9" spans="1:12" ht="13.5" customHeight="1" x14ac:dyDescent="0.2">
      <c r="A9" s="581" t="s">
        <v>145</v>
      </c>
      <c r="B9" s="582"/>
      <c r="C9" s="582"/>
      <c r="D9" s="136">
        <f>'1 (szegedi)'!D9+'1 (visegrádi)'!D9</f>
        <v>12819</v>
      </c>
      <c r="E9" s="137">
        <f>'1 (szegedi)'!E9+'1 (visegrádi)'!E9</f>
        <v>13039</v>
      </c>
      <c r="F9" s="138">
        <f t="shared" si="0"/>
        <v>1.0171620251189641</v>
      </c>
      <c r="G9" s="136">
        <f>'1 (szegedi)'!G9+'1 (visegrádi)'!G9</f>
        <v>55754</v>
      </c>
      <c r="H9" s="137">
        <f>'1 (szegedi)'!H9+'1 (visegrádi)'!H9</f>
        <v>52399</v>
      </c>
      <c r="I9" s="138">
        <f t="shared" si="1"/>
        <v>0.93982494529540483</v>
      </c>
      <c r="J9" s="136">
        <f>'1 (szegedi)'!J9+'1 (visegrádi)'!J9</f>
        <v>18519499</v>
      </c>
      <c r="K9" s="137">
        <f>'1 (szegedi)'!K9+'1 (visegrádi)'!K9</f>
        <v>18018803</v>
      </c>
      <c r="L9" s="138">
        <f t="shared" si="2"/>
        <v>0.97296384745613262</v>
      </c>
    </row>
    <row r="10" spans="1:12" ht="13.5" customHeight="1" x14ac:dyDescent="0.2">
      <c r="A10" s="581" t="s">
        <v>146</v>
      </c>
      <c r="B10" s="582"/>
      <c r="C10" s="582"/>
      <c r="D10" s="136">
        <f>'1 (szegedi)'!D10+'1 (visegrádi)'!D10</f>
        <v>2490</v>
      </c>
      <c r="E10" s="137">
        <f>'1 (szegedi)'!E10+'1 (visegrádi)'!E10</f>
        <v>2458</v>
      </c>
      <c r="F10" s="138">
        <f t="shared" si="0"/>
        <v>0.98714859437751001</v>
      </c>
      <c r="G10" s="136">
        <f>'1 (szegedi)'!G10+'1 (visegrádi)'!G10</f>
        <v>11710</v>
      </c>
      <c r="H10" s="137">
        <f>'1 (szegedi)'!H10+'1 (visegrádi)'!H10</f>
        <v>12034</v>
      </c>
      <c r="I10" s="138">
        <f t="shared" si="1"/>
        <v>1.027668659265585</v>
      </c>
      <c r="J10" s="136">
        <f>'1 (szegedi)'!J10+'1 (visegrádi)'!J10</f>
        <v>3570932</v>
      </c>
      <c r="K10" s="137">
        <f>'1 (szegedi)'!K10+'1 (visegrádi)'!K10</f>
        <v>3673832</v>
      </c>
      <c r="L10" s="138">
        <f t="shared" si="2"/>
        <v>1.0288160065775545</v>
      </c>
    </row>
    <row r="11" spans="1:12" ht="13.5" customHeight="1" x14ac:dyDescent="0.2">
      <c r="A11" s="581" t="s">
        <v>147</v>
      </c>
      <c r="B11" s="582"/>
      <c r="C11" s="582"/>
      <c r="D11" s="136">
        <f>'1 (szegedi)'!D11+'1 (visegrádi)'!D11</f>
        <v>1106</v>
      </c>
      <c r="E11" s="137">
        <f>'1 (szegedi)'!E11+'1 (visegrádi)'!E11</f>
        <v>1102</v>
      </c>
      <c r="F11" s="138">
        <f t="shared" si="0"/>
        <v>0.9963833634719711</v>
      </c>
      <c r="G11" s="136">
        <f>'1 (szegedi)'!G11+'1 (visegrádi)'!G11</f>
        <v>2192</v>
      </c>
      <c r="H11" s="137">
        <f>'1 (szegedi)'!H11+'1 (visegrádi)'!H11</f>
        <v>2189</v>
      </c>
      <c r="I11" s="138">
        <f t="shared" si="1"/>
        <v>0.99863138686131392</v>
      </c>
      <c r="J11" s="136">
        <f>'1 (szegedi)'!J11+'1 (visegrádi)'!J11</f>
        <v>1457736</v>
      </c>
      <c r="K11" s="137">
        <f>'1 (szegedi)'!K11+'1 (visegrádi)'!K11</f>
        <v>1454238</v>
      </c>
      <c r="L11" s="138">
        <f t="shared" si="2"/>
        <v>0.9976003885477206</v>
      </c>
    </row>
    <row r="12" spans="1:12" ht="13.5" customHeight="1" x14ac:dyDescent="0.2">
      <c r="A12" s="581" t="s">
        <v>148</v>
      </c>
      <c r="B12" s="582"/>
      <c r="C12" s="582"/>
      <c r="D12" s="136">
        <f>'1 (szegedi)'!D12+'1 (visegrádi)'!D12</f>
        <v>23250</v>
      </c>
      <c r="E12" s="137">
        <f>'1 (szegedi)'!E12+'1 (visegrádi)'!E12</f>
        <v>21988</v>
      </c>
      <c r="F12" s="138">
        <f t="shared" si="0"/>
        <v>0.94572043010752693</v>
      </c>
      <c r="G12" s="136">
        <f>'1 (szegedi)'!G12+'1 (visegrádi)'!G12</f>
        <v>84834</v>
      </c>
      <c r="H12" s="137">
        <f>'1 (szegedi)'!H12+'1 (visegrádi)'!H12</f>
        <v>83048</v>
      </c>
      <c r="I12" s="138">
        <f t="shared" si="1"/>
        <v>0.97894712025838693</v>
      </c>
      <c r="J12" s="136">
        <f>'1 (szegedi)'!J12+'1 (visegrádi)'!J12</f>
        <v>28849687</v>
      </c>
      <c r="K12" s="137">
        <f>'1 (szegedi)'!K12+'1 (visegrádi)'!K12</f>
        <v>27927460</v>
      </c>
      <c r="L12" s="138">
        <f t="shared" si="2"/>
        <v>0.96803337935694067</v>
      </c>
    </row>
    <row r="13" spans="1:12" ht="13.5" customHeight="1" x14ac:dyDescent="0.2">
      <c r="A13" s="581" t="s">
        <v>149</v>
      </c>
      <c r="B13" s="582"/>
      <c r="C13" s="582"/>
      <c r="D13" s="136">
        <f>'1 (szegedi)'!D13+'1 (visegrádi)'!D13</f>
        <v>22319</v>
      </c>
      <c r="E13" s="137">
        <f>'1 (szegedi)'!E13+'1 (visegrádi)'!E13</f>
        <v>21910</v>
      </c>
      <c r="F13" s="138">
        <f t="shared" si="0"/>
        <v>0.98167480621891667</v>
      </c>
      <c r="G13" s="136">
        <f>'1 (szegedi)'!G13+'1 (visegrádi)'!G13</f>
        <v>86619</v>
      </c>
      <c r="H13" s="137">
        <f>'1 (szegedi)'!H13+'1 (visegrádi)'!H13</f>
        <v>74019</v>
      </c>
      <c r="I13" s="138">
        <f t="shared" si="1"/>
        <v>0.85453537907387522</v>
      </c>
      <c r="J13" s="136">
        <f>'1 (szegedi)'!J13+'1 (visegrádi)'!J13</f>
        <v>21758909</v>
      </c>
      <c r="K13" s="137">
        <f>'1 (szegedi)'!K13+'1 (visegrádi)'!K13</f>
        <v>21090320</v>
      </c>
      <c r="L13" s="138">
        <f t="shared" si="2"/>
        <v>0.96927286198035023</v>
      </c>
    </row>
    <row r="14" spans="1:12" ht="13.5" customHeight="1" x14ac:dyDescent="0.2">
      <c r="A14" s="581" t="s">
        <v>150</v>
      </c>
      <c r="B14" s="582"/>
      <c r="C14" s="582"/>
      <c r="D14" s="136">
        <f>'1 (szegedi)'!D14+'1 (visegrádi)'!D14</f>
        <v>1697</v>
      </c>
      <c r="E14" s="137">
        <f>'1 (szegedi)'!E14+'1 (visegrádi)'!E14</f>
        <v>1690</v>
      </c>
      <c r="F14" s="138">
        <f t="shared" si="0"/>
        <v>0.99587507365939898</v>
      </c>
      <c r="G14" s="136">
        <f>'1 (szegedi)'!G14+'1 (visegrádi)'!G14</f>
        <v>11581</v>
      </c>
      <c r="H14" s="137">
        <f>'1 (szegedi)'!H14+'1 (visegrádi)'!H14</f>
        <v>12131</v>
      </c>
      <c r="I14" s="138">
        <f t="shared" si="1"/>
        <v>1.0474915810379068</v>
      </c>
      <c r="J14" s="136">
        <f>'1 (szegedi)'!J14+'1 (visegrádi)'!J14</f>
        <v>2592616</v>
      </c>
      <c r="K14" s="137">
        <f>'1 (szegedi)'!K14+'1 (visegrádi)'!K14</f>
        <v>2742961</v>
      </c>
      <c r="L14" s="138">
        <f t="shared" si="2"/>
        <v>1.0579896907216495</v>
      </c>
    </row>
    <row r="15" spans="1:12" ht="13.5" customHeight="1" x14ac:dyDescent="0.2">
      <c r="A15" s="581" t="s">
        <v>151</v>
      </c>
      <c r="B15" s="582"/>
      <c r="C15" s="582"/>
      <c r="D15" s="136">
        <f>'1 (szegedi)'!D15+'1 (visegrádi)'!D15</f>
        <v>25047</v>
      </c>
      <c r="E15" s="137">
        <f>'1 (szegedi)'!E15+'1 (visegrádi)'!E15</f>
        <v>25095</v>
      </c>
      <c r="F15" s="138">
        <f t="shared" si="0"/>
        <v>1.0019163971733143</v>
      </c>
      <c r="G15" s="136">
        <f>'1 (szegedi)'!G15+'1 (visegrádi)'!G15</f>
        <v>248818</v>
      </c>
      <c r="H15" s="137">
        <f>'1 (szegedi)'!H15+'1 (visegrádi)'!H15</f>
        <v>244963</v>
      </c>
      <c r="I15" s="138">
        <f t="shared" si="1"/>
        <v>0.98450674790409054</v>
      </c>
      <c r="J15" s="136">
        <f>'1 (szegedi)'!J15+'1 (visegrádi)'!J15</f>
        <v>42182624</v>
      </c>
      <c r="K15" s="137">
        <f>'1 (szegedi)'!K15+'1 (visegrádi)'!K15</f>
        <v>41401533</v>
      </c>
      <c r="L15" s="138">
        <f t="shared" si="2"/>
        <v>0.98148311020196377</v>
      </c>
    </row>
    <row r="16" spans="1:12" ht="13.5" customHeight="1" x14ac:dyDescent="0.2">
      <c r="A16" s="581" t="s">
        <v>152</v>
      </c>
      <c r="B16" s="582"/>
      <c r="C16" s="582"/>
      <c r="D16" s="136">
        <f>'1 (szegedi)'!D16+'1 (visegrádi)'!D16</f>
        <v>15515</v>
      </c>
      <c r="E16" s="137">
        <f>'1 (szegedi)'!E16+'1 (visegrádi)'!E16</f>
        <v>13940</v>
      </c>
      <c r="F16" s="138">
        <f t="shared" si="0"/>
        <v>0.89848533677086695</v>
      </c>
      <c r="G16" s="136">
        <f>'1 (szegedi)'!G16+'1 (visegrádi)'!G16</f>
        <v>73844</v>
      </c>
      <c r="H16" s="137">
        <f>'1 (szegedi)'!H16+'1 (visegrádi)'!H16</f>
        <v>67669</v>
      </c>
      <c r="I16" s="138">
        <f t="shared" si="1"/>
        <v>0.91637776935160609</v>
      </c>
      <c r="J16" s="136">
        <f>'1 (szegedi)'!J16+'1 (visegrádi)'!J16</f>
        <v>19200017</v>
      </c>
      <c r="K16" s="137">
        <f>'1 (szegedi)'!K16+'1 (visegrádi)'!K16</f>
        <v>16309544</v>
      </c>
      <c r="L16" s="138">
        <f t="shared" si="2"/>
        <v>0.84945466454534913</v>
      </c>
    </row>
    <row r="17" spans="1:12" ht="13.5" customHeight="1" x14ac:dyDescent="0.2">
      <c r="A17" s="581" t="s">
        <v>153</v>
      </c>
      <c r="B17" s="582"/>
      <c r="C17" s="600"/>
      <c r="D17" s="136">
        <f>'1 (szegedi)'!D17+'1 (visegrádi)'!D17</f>
        <v>1535</v>
      </c>
      <c r="E17" s="137">
        <f>'1 (szegedi)'!E17+'1 (visegrádi)'!E17</f>
        <v>1566</v>
      </c>
      <c r="F17" s="138">
        <f t="shared" si="0"/>
        <v>1.0201954397394137</v>
      </c>
      <c r="G17" s="136">
        <f>'1 (szegedi)'!G17+'1 (visegrádi)'!G17</f>
        <v>20651</v>
      </c>
      <c r="H17" s="137">
        <f>'1 (szegedi)'!H17+'1 (visegrádi)'!H17</f>
        <v>19625</v>
      </c>
      <c r="I17" s="138">
        <f t="shared" si="1"/>
        <v>0.95031717592368403</v>
      </c>
      <c r="J17" s="136">
        <f>'1 (szegedi)'!J17+'1 (visegrádi)'!J17</f>
        <v>6857179</v>
      </c>
      <c r="K17" s="137">
        <f>'1 (szegedi)'!K17+'1 (visegrádi)'!K17</f>
        <v>6523394</v>
      </c>
      <c r="L17" s="138">
        <f t="shared" si="2"/>
        <v>0.95132327740022538</v>
      </c>
    </row>
    <row r="18" spans="1:12" ht="13.5" customHeight="1" x14ac:dyDescent="0.2">
      <c r="A18" s="581" t="s">
        <v>154</v>
      </c>
      <c r="B18" s="582"/>
      <c r="C18" s="582"/>
      <c r="D18" s="136">
        <f>'1 (szegedi)'!D18+'1 (visegrádi)'!D18</f>
        <v>15860</v>
      </c>
      <c r="E18" s="137">
        <f>'1 (szegedi)'!E18+'1 (visegrádi)'!E18</f>
        <v>15630</v>
      </c>
      <c r="F18" s="138">
        <f t="shared" si="0"/>
        <v>0.98549810844892816</v>
      </c>
      <c r="G18" s="136">
        <f>'1 (szegedi)'!G18+'1 (visegrádi)'!G18</f>
        <v>88139</v>
      </c>
      <c r="H18" s="137">
        <f>'1 (szegedi)'!H18+'1 (visegrádi)'!H18</f>
        <v>93581</v>
      </c>
      <c r="I18" s="138">
        <f t="shared" si="1"/>
        <v>1.0617433826115568</v>
      </c>
      <c r="J18" s="136">
        <f>'1 (szegedi)'!J18+'1 (visegrádi)'!J18</f>
        <v>20603064</v>
      </c>
      <c r="K18" s="137">
        <f>'1 (szegedi)'!K18+'1 (visegrádi)'!K18</f>
        <v>22522769</v>
      </c>
      <c r="L18" s="138">
        <f t="shared" si="2"/>
        <v>1.0931757043515469</v>
      </c>
    </row>
    <row r="19" spans="1:12" ht="13.5" customHeight="1" x14ac:dyDescent="0.2">
      <c r="A19" s="581" t="s">
        <v>155</v>
      </c>
      <c r="B19" s="582"/>
      <c r="C19" s="582"/>
      <c r="D19" s="136">
        <f>'1 (szegedi)'!D19+'1 (visegrádi)'!D19</f>
        <v>2979</v>
      </c>
      <c r="E19" s="137">
        <f>'1 (szegedi)'!E19+'1 (visegrádi)'!E19</f>
        <v>2954</v>
      </c>
      <c r="F19" s="138">
        <f t="shared" si="0"/>
        <v>0.99160792212151727</v>
      </c>
      <c r="G19" s="136">
        <f>'1 (szegedi)'!G19+'1 (visegrádi)'!G19</f>
        <v>8198</v>
      </c>
      <c r="H19" s="137">
        <f>'1 (szegedi)'!H19+'1 (visegrádi)'!H19</f>
        <v>8143</v>
      </c>
      <c r="I19" s="138">
        <f t="shared" si="1"/>
        <v>0.99329104659673095</v>
      </c>
      <c r="J19" s="136">
        <f>'1 (szegedi)'!J19+'1 (visegrádi)'!J19</f>
        <v>4073421</v>
      </c>
      <c r="K19" s="137">
        <f>'1 (szegedi)'!K19+'1 (visegrádi)'!K19</f>
        <v>4130719</v>
      </c>
      <c r="L19" s="138">
        <f t="shared" si="2"/>
        <v>1.0140663093748474</v>
      </c>
    </row>
    <row r="20" spans="1:12" ht="13.5" customHeight="1" x14ac:dyDescent="0.2">
      <c r="A20" s="581" t="s">
        <v>156</v>
      </c>
      <c r="B20" s="582"/>
      <c r="C20" s="582"/>
      <c r="D20" s="136">
        <f>'1 (szegedi)'!D20+'1 (visegrádi)'!D20</f>
        <v>7974</v>
      </c>
      <c r="E20" s="137">
        <f>'1 (szegedi)'!E20+'1 (visegrádi)'!E20</f>
        <v>7934</v>
      </c>
      <c r="F20" s="138">
        <f t="shared" si="0"/>
        <v>0.99498369701529976</v>
      </c>
      <c r="G20" s="136">
        <f>'1 (szegedi)'!G20+'1 (visegrádi)'!G20</f>
        <v>28868</v>
      </c>
      <c r="H20" s="137">
        <f>'1 (szegedi)'!H20+'1 (visegrádi)'!H20</f>
        <v>29558</v>
      </c>
      <c r="I20" s="138">
        <f t="shared" si="1"/>
        <v>1.0239018982956907</v>
      </c>
      <c r="J20" s="136">
        <f>'1 (szegedi)'!J20+'1 (visegrádi)'!J20</f>
        <v>10788649</v>
      </c>
      <c r="K20" s="137">
        <f>'1 (szegedi)'!K20+'1 (visegrádi)'!K20</f>
        <v>10887120</v>
      </c>
      <c r="L20" s="138">
        <f t="shared" si="2"/>
        <v>1.0091272781235168</v>
      </c>
    </row>
    <row r="21" spans="1:12" ht="13.5" customHeight="1" x14ac:dyDescent="0.2">
      <c r="A21" s="581" t="s">
        <v>157</v>
      </c>
      <c r="B21" s="582"/>
      <c r="C21" s="582"/>
      <c r="D21" s="136">
        <f>'1 (szegedi)'!D21+'1 (visegrádi)'!D21</f>
        <v>22459</v>
      </c>
      <c r="E21" s="137">
        <f>'1 (szegedi)'!E21+'1 (visegrádi)'!E21</f>
        <v>23826</v>
      </c>
      <c r="F21" s="138">
        <f t="shared" si="0"/>
        <v>1.0608664677857429</v>
      </c>
      <c r="G21" s="136">
        <f>'1 (szegedi)'!G21+'1 (visegrádi)'!G21</f>
        <v>90833</v>
      </c>
      <c r="H21" s="137">
        <f>'1 (szegedi)'!H21+'1 (visegrádi)'!H21</f>
        <v>89678</v>
      </c>
      <c r="I21" s="138">
        <f t="shared" si="1"/>
        <v>0.98728435700681472</v>
      </c>
      <c r="J21" s="136">
        <f>'1 (szegedi)'!J21+'1 (visegrádi)'!J21</f>
        <v>30260630</v>
      </c>
      <c r="K21" s="137">
        <f>'1 (szegedi)'!K21+'1 (visegrádi)'!K21</f>
        <v>30062540</v>
      </c>
      <c r="L21" s="138">
        <f t="shared" si="2"/>
        <v>0.99345387059026857</v>
      </c>
    </row>
    <row r="22" spans="1:12" ht="13.5" customHeight="1" x14ac:dyDescent="0.2">
      <c r="A22" s="581" t="s">
        <v>158</v>
      </c>
      <c r="B22" s="582"/>
      <c r="C22" s="582"/>
      <c r="D22" s="136">
        <f>'1 (szegedi)'!D22+'1 (visegrádi)'!D22</f>
        <v>35974</v>
      </c>
      <c r="E22" s="137">
        <f>'1 (szegedi)'!E22+'1 (visegrádi)'!E22</f>
        <v>35394</v>
      </c>
      <c r="F22" s="138">
        <f t="shared" si="0"/>
        <v>0.983877244676711</v>
      </c>
      <c r="G22" s="136">
        <f>'1 (szegedi)'!G22+'1 (visegrádi)'!G22</f>
        <v>94954</v>
      </c>
      <c r="H22" s="137">
        <f>'1 (szegedi)'!H22+'1 (visegrádi)'!H22</f>
        <v>87012</v>
      </c>
      <c r="I22" s="138">
        <f t="shared" si="1"/>
        <v>0.91635950038966241</v>
      </c>
      <c r="J22" s="136">
        <f>'1 (szegedi)'!J22+'1 (visegrádi)'!J22</f>
        <v>66987870</v>
      </c>
      <c r="K22" s="137">
        <f>'1 (szegedi)'!K22+'1 (visegrádi)'!K22</f>
        <v>62165494</v>
      </c>
      <c r="L22" s="138">
        <f t="shared" si="2"/>
        <v>0.92801120561080686</v>
      </c>
    </row>
    <row r="23" spans="1:12" ht="13.5" customHeight="1" x14ac:dyDescent="0.2">
      <c r="A23" s="581" t="s">
        <v>159</v>
      </c>
      <c r="B23" s="582"/>
      <c r="C23" s="582"/>
      <c r="D23" s="136">
        <f>'1 (szegedi)'!D23+'1 (visegrádi)'!D23</f>
        <v>34084</v>
      </c>
      <c r="E23" s="137">
        <f>'1 (szegedi)'!E23+'1 (visegrádi)'!E23</f>
        <v>31046</v>
      </c>
      <c r="F23" s="138">
        <f t="shared" si="0"/>
        <v>0.91086726909987092</v>
      </c>
      <c r="G23" s="136">
        <f>'1 (szegedi)'!G23+'1 (visegrádi)'!G23</f>
        <v>330971</v>
      </c>
      <c r="H23" s="137">
        <f>'1 (szegedi)'!H23+'1 (visegrádi)'!H23</f>
        <v>292835</v>
      </c>
      <c r="I23" s="138">
        <f t="shared" si="1"/>
        <v>0.88477540328306714</v>
      </c>
      <c r="J23" s="136">
        <f>'1 (szegedi)'!J23+'1 (visegrádi)'!J23</f>
        <v>52871671</v>
      </c>
      <c r="K23" s="137">
        <f>'1 (szegedi)'!K23+'1 (visegrádi)'!K23</f>
        <v>47517309</v>
      </c>
      <c r="L23" s="138">
        <f t="shared" si="2"/>
        <v>0.89872909445211213</v>
      </c>
    </row>
    <row r="24" spans="1:12" ht="13.5" customHeight="1" x14ac:dyDescent="0.2">
      <c r="A24" s="607" t="s">
        <v>160</v>
      </c>
      <c r="B24" s="608"/>
      <c r="C24" s="609"/>
      <c r="D24" s="136">
        <f>'1 (szegedi)'!D24+'1 (visegrádi)'!D24</f>
        <v>4094</v>
      </c>
      <c r="E24" s="137">
        <f>'1 (szegedi)'!E24+'1 (visegrádi)'!E24</f>
        <v>4334</v>
      </c>
      <c r="F24" s="138">
        <f t="shared" si="0"/>
        <v>1.0586223742061553</v>
      </c>
      <c r="G24" s="136">
        <f>'1 (szegedi)'!G24+'1 (visegrádi)'!G24</f>
        <v>6064</v>
      </c>
      <c r="H24" s="137">
        <f>'1 (szegedi)'!H24+'1 (visegrádi)'!H24</f>
        <v>6530</v>
      </c>
      <c r="I24" s="138">
        <f t="shared" si="1"/>
        <v>1.0768469656992083</v>
      </c>
      <c r="J24" s="136">
        <f>'1 (szegedi)'!J24+'1 (visegrádi)'!J24</f>
        <v>8156744</v>
      </c>
      <c r="K24" s="137">
        <f>'1 (szegedi)'!K24+'1 (visegrádi)'!K24</f>
        <v>9157822</v>
      </c>
      <c r="L24" s="138">
        <f t="shared" si="2"/>
        <v>1.1227300991670206</v>
      </c>
    </row>
    <row r="25" spans="1:12" ht="13.5" customHeight="1" x14ac:dyDescent="0.2">
      <c r="A25" s="581" t="s">
        <v>161</v>
      </c>
      <c r="B25" s="582"/>
      <c r="C25" s="582"/>
      <c r="D25" s="136">
        <f>'1 (szegedi)'!D25+'1 (visegrádi)'!D25</f>
        <v>65137</v>
      </c>
      <c r="E25" s="137">
        <f>'1 (szegedi)'!E25+'1 (visegrádi)'!E25</f>
        <v>67075</v>
      </c>
      <c r="F25" s="138">
        <f t="shared" si="0"/>
        <v>1.0297526751308781</v>
      </c>
      <c r="G25" s="136">
        <f>'1 (szegedi)'!G25+'1 (visegrádi)'!G25</f>
        <v>141992</v>
      </c>
      <c r="H25" s="137">
        <f>'1 (szegedi)'!H25+'1 (visegrádi)'!H25</f>
        <v>156790</v>
      </c>
      <c r="I25" s="138">
        <f t="shared" si="1"/>
        <v>1.1042171389937461</v>
      </c>
      <c r="J25" s="136">
        <f>'1 (szegedi)'!J25+'1 (visegrádi)'!J25</f>
        <v>30796325</v>
      </c>
      <c r="K25" s="137">
        <f>'1 (szegedi)'!K25+'1 (visegrádi)'!K25</f>
        <v>35528524</v>
      </c>
      <c r="L25" s="138">
        <f t="shared" si="2"/>
        <v>1.153661159245462</v>
      </c>
    </row>
    <row r="26" spans="1:12" ht="13.5" customHeight="1" x14ac:dyDescent="0.2">
      <c r="A26" s="581" t="s">
        <v>162</v>
      </c>
      <c r="B26" s="582"/>
      <c r="C26" s="582"/>
      <c r="D26" s="136">
        <f>'1 (szegedi)'!D26+'1 (visegrádi)'!D26</f>
        <v>39322</v>
      </c>
      <c r="E26" s="137">
        <f>'1 (szegedi)'!E26+'1 (visegrádi)'!E26</f>
        <v>42598</v>
      </c>
      <c r="F26" s="138">
        <f t="shared" si="0"/>
        <v>1.0833121407863282</v>
      </c>
      <c r="G26" s="136">
        <f>'1 (szegedi)'!G26+'1 (visegrádi)'!G26</f>
        <v>273023</v>
      </c>
      <c r="H26" s="137">
        <f>'1 (szegedi)'!H26+'1 (visegrádi)'!H26</f>
        <v>296904</v>
      </c>
      <c r="I26" s="138">
        <f t="shared" si="1"/>
        <v>1.087468821308095</v>
      </c>
      <c r="J26" s="136">
        <f>'1 (szegedi)'!J26+'1 (visegrádi)'!J26</f>
        <v>37411575</v>
      </c>
      <c r="K26" s="137">
        <f>'1 (szegedi)'!K26+'1 (visegrádi)'!K26</f>
        <v>40795133</v>
      </c>
      <c r="L26" s="138">
        <f t="shared" si="2"/>
        <v>1.090441474329803</v>
      </c>
    </row>
    <row r="27" spans="1:12" ht="13.5" customHeight="1" x14ac:dyDescent="0.2">
      <c r="A27" s="581" t="s">
        <v>163</v>
      </c>
      <c r="B27" s="582"/>
      <c r="C27" s="582"/>
      <c r="D27" s="136">
        <f>'1 (szegedi)'!D27+'1 (visegrádi)'!D27</f>
        <v>158</v>
      </c>
      <c r="E27" s="137">
        <f>'1 (szegedi)'!E27+'1 (visegrádi)'!E27</f>
        <v>0</v>
      </c>
      <c r="F27" s="138">
        <f t="shared" si="0"/>
        <v>0</v>
      </c>
      <c r="G27" s="136">
        <f>'1 (szegedi)'!G27+'1 (visegrádi)'!G27</f>
        <v>747</v>
      </c>
      <c r="H27" s="137">
        <f>'1 (szegedi)'!H27+'1 (visegrádi)'!H27</f>
        <v>0</v>
      </c>
      <c r="I27" s="138">
        <f t="shared" si="1"/>
        <v>0</v>
      </c>
      <c r="J27" s="136">
        <f>'1 (szegedi)'!J27+'1 (visegrádi)'!J27</f>
        <v>195915</v>
      </c>
      <c r="K27" s="137">
        <f>'1 (szegedi)'!K27+'1 (visegrádi)'!K27</f>
        <v>0</v>
      </c>
      <c r="L27" s="138">
        <f t="shared" si="2"/>
        <v>0</v>
      </c>
    </row>
    <row r="28" spans="1:12" ht="13.5" customHeight="1" x14ac:dyDescent="0.2">
      <c r="A28" s="581" t="s">
        <v>164</v>
      </c>
      <c r="B28" s="582"/>
      <c r="C28" s="582"/>
      <c r="D28" s="136">
        <f>'1 (szegedi)'!D28+'1 (visegrádi)'!D28</f>
        <v>7080</v>
      </c>
      <c r="E28" s="137">
        <f>'1 (szegedi)'!E28+'1 (visegrádi)'!E28</f>
        <v>6954</v>
      </c>
      <c r="F28" s="138">
        <f t="shared" si="0"/>
        <v>0.98220338983050848</v>
      </c>
      <c r="G28" s="136">
        <f>'1 (szegedi)'!G28+'1 (visegrádi)'!G28</f>
        <v>16850</v>
      </c>
      <c r="H28" s="137">
        <f>'1 (szegedi)'!H28+'1 (visegrádi)'!H28</f>
        <v>15129</v>
      </c>
      <c r="I28" s="138">
        <f t="shared" si="1"/>
        <v>0.89786350148367955</v>
      </c>
      <c r="J28" s="136">
        <f>'1 (szegedi)'!J28+'1 (visegrádi)'!J28</f>
        <v>7323490</v>
      </c>
      <c r="K28" s="137">
        <f>'1 (szegedi)'!K28+'1 (visegrádi)'!K28</f>
        <v>6425150</v>
      </c>
      <c r="L28" s="138">
        <f t="shared" si="2"/>
        <v>0.87733444027369467</v>
      </c>
    </row>
    <row r="29" spans="1:12" ht="13.5" customHeight="1" x14ac:dyDescent="0.2">
      <c r="A29" s="139"/>
      <c r="B29" s="140"/>
      <c r="C29" s="140"/>
      <c r="D29" s="141"/>
      <c r="E29" s="142"/>
      <c r="F29" s="143"/>
      <c r="G29" s="144"/>
      <c r="H29" s="142"/>
      <c r="I29" s="143"/>
      <c r="J29" s="144"/>
      <c r="K29" s="142"/>
      <c r="L29" s="143"/>
    </row>
    <row r="30" spans="1:12" ht="13.5" customHeight="1" x14ac:dyDescent="0.2">
      <c r="A30" s="581" t="s">
        <v>165</v>
      </c>
      <c r="B30" s="582"/>
      <c r="C30" s="600"/>
      <c r="D30" s="145">
        <f>SUM(D4:D28)-D27-D28</f>
        <v>377994</v>
      </c>
      <c r="E30" s="137">
        <f>SUM(E4:E28)-E27-E28</f>
        <v>376956</v>
      </c>
      <c r="F30" s="138">
        <f>E30/D30</f>
        <v>0.99725392466547091</v>
      </c>
      <c r="G30" s="145">
        <f>SUM(G4:G28)-G27-G28</f>
        <v>1825173</v>
      </c>
      <c r="H30" s="137">
        <f>SUM(H4:H28)-H27-H28</f>
        <v>1783860</v>
      </c>
      <c r="I30" s="138">
        <f>H30/G30</f>
        <v>0.97736488541086242</v>
      </c>
      <c r="J30" s="145">
        <f>SUM(J4:J28)-J27-J28</f>
        <v>478663688</v>
      </c>
      <c r="K30" s="137">
        <f>SUM(K4:K28)-K27-K28</f>
        <v>475107049</v>
      </c>
      <c r="L30" s="138">
        <f>K30/J30</f>
        <v>0.9925696494445595</v>
      </c>
    </row>
    <row r="31" spans="1:12" ht="13.5" customHeight="1" thickBot="1" x14ac:dyDescent="0.25">
      <c r="A31" s="146"/>
      <c r="B31" s="147"/>
      <c r="C31" s="147"/>
      <c r="D31" s="148"/>
      <c r="E31" s="149"/>
      <c r="F31" s="150"/>
      <c r="G31" s="151"/>
      <c r="H31" s="149"/>
      <c r="I31" s="150"/>
      <c r="J31" s="151"/>
      <c r="K31" s="149"/>
      <c r="L31" s="150"/>
    </row>
    <row r="32" spans="1:12" ht="13.5" customHeight="1" thickBot="1" x14ac:dyDescent="0.25">
      <c r="A32" s="152" t="s">
        <v>166</v>
      </c>
      <c r="B32" s="153"/>
      <c r="C32" s="153"/>
      <c r="D32" s="154">
        <f>'1 (szegedi)'!D32+'1 (visegrádi)'!D32</f>
        <v>74165</v>
      </c>
      <c r="E32" s="155">
        <f>'1 (szegedi)'!E32+'1 (visegrádi)'!E32</f>
        <v>73130</v>
      </c>
      <c r="F32" s="156">
        <f t="shared" ref="F32" si="3">E32/D32</f>
        <v>0.98604463021640931</v>
      </c>
      <c r="G32" s="154">
        <f>'1 (szegedi)'!G32+'1 (visegrádi)'!G32</f>
        <v>1353762</v>
      </c>
      <c r="H32" s="155">
        <f>'1 (szegedi)'!H32+'1 (visegrádi)'!H32</f>
        <v>1320865</v>
      </c>
      <c r="I32" s="156">
        <f t="shared" ref="I32" si="4">H32/G32</f>
        <v>0.97569956905275812</v>
      </c>
      <c r="J32" s="154">
        <f>'1 (szegedi)'!J32+'1 (visegrádi)'!J32</f>
        <v>227180761</v>
      </c>
      <c r="K32" s="155">
        <f>'1 (szegedi)'!K32+'1 (visegrádi)'!K32</f>
        <v>223307921</v>
      </c>
      <c r="L32" s="156">
        <f t="shared" ref="L32" si="5">K32/J32</f>
        <v>0.98295260574463872</v>
      </c>
    </row>
    <row r="33" spans="1:12" ht="13.5" customHeight="1" thickBot="1" x14ac:dyDescent="0.25">
      <c r="A33" s="157" t="s">
        <v>167</v>
      </c>
      <c r="B33" s="158"/>
      <c r="C33" s="158"/>
      <c r="D33" s="154">
        <f>D27+D28</f>
        <v>7238</v>
      </c>
      <c r="E33" s="155">
        <f>E27+E28</f>
        <v>6954</v>
      </c>
      <c r="F33" s="156">
        <f>E33/D33</f>
        <v>0.96076264161370539</v>
      </c>
      <c r="G33" s="154">
        <f>G27+G28</f>
        <v>17597</v>
      </c>
      <c r="H33" s="155">
        <f>H27+H28</f>
        <v>15129</v>
      </c>
      <c r="I33" s="156">
        <f>H33/G33</f>
        <v>0.85974882082173099</v>
      </c>
      <c r="J33" s="154">
        <f>J27+J28</f>
        <v>7519405</v>
      </c>
      <c r="K33" s="155">
        <f>K27+K28</f>
        <v>6425150</v>
      </c>
      <c r="L33" s="156">
        <f>K33/J33</f>
        <v>0.85447585281016247</v>
      </c>
    </row>
    <row r="34" spans="1:12" ht="13.5" customHeight="1" x14ac:dyDescent="0.2">
      <c r="A34" s="601"/>
      <c r="B34" s="602"/>
      <c r="C34" s="603"/>
      <c r="D34" s="159"/>
      <c r="E34" s="160"/>
      <c r="F34" s="161"/>
      <c r="G34" s="159"/>
      <c r="H34" s="160"/>
      <c r="I34" s="161"/>
      <c r="J34" s="159"/>
      <c r="K34" s="160"/>
      <c r="L34" s="161"/>
    </row>
    <row r="35" spans="1:12" ht="13.5" customHeight="1" thickBot="1" x14ac:dyDescent="0.25">
      <c r="A35" s="604" t="s">
        <v>168</v>
      </c>
      <c r="B35" s="605"/>
      <c r="C35" s="606"/>
      <c r="D35" s="162">
        <f>SUM(D30:D33)</f>
        <v>459397</v>
      </c>
      <c r="E35" s="163">
        <f>SUM(E30:E33)</f>
        <v>457040</v>
      </c>
      <c r="F35" s="164">
        <f>E35/D35</f>
        <v>0.99486936135847648</v>
      </c>
      <c r="G35" s="163">
        <f>SUM(G30:G33)</f>
        <v>3196532</v>
      </c>
      <c r="H35" s="163">
        <f>SUM(H30:H33)</f>
        <v>3119854</v>
      </c>
      <c r="I35" s="164">
        <f>H35/G35</f>
        <v>0.97601212814387595</v>
      </c>
      <c r="J35" s="163">
        <f>SUM(J30:J33)</f>
        <v>713363854</v>
      </c>
      <c r="K35" s="163">
        <f>SUM(K30:K33)</f>
        <v>704840120</v>
      </c>
      <c r="L35" s="164">
        <f>K35/J35</f>
        <v>0.98805135142157063</v>
      </c>
    </row>
  </sheetData>
  <mergeCells count="35">
    <mergeCell ref="A28:C28"/>
    <mergeCell ref="A30:C30"/>
    <mergeCell ref="A34:C34"/>
    <mergeCell ref="A35:C35"/>
    <mergeCell ref="A22:C22"/>
    <mergeCell ref="A23:C23"/>
    <mergeCell ref="A24:C24"/>
    <mergeCell ref="A25:C25"/>
    <mergeCell ref="A26:C26"/>
    <mergeCell ref="A27:C27"/>
    <mergeCell ref="A21:C21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9:C9"/>
    <mergeCell ref="A1:C3"/>
    <mergeCell ref="D1:F1"/>
    <mergeCell ref="G1:I1"/>
    <mergeCell ref="J1:L1"/>
    <mergeCell ref="D2:F2"/>
    <mergeCell ref="G2:I2"/>
    <mergeCell ref="J2:L2"/>
    <mergeCell ref="A4:C4"/>
    <mergeCell ref="A5:C5"/>
    <mergeCell ref="A6:C6"/>
    <mergeCell ref="A7:C7"/>
    <mergeCell ref="A8:C8"/>
  </mergeCells>
  <conditionalFormatting sqref="A25:C65535 A1:A24 B1:C23 D1:IV65535">
    <cfRule type="cellIs" dxfId="50" priority="4" stopIfTrue="1" operator="equal">
      <formula>0</formula>
    </cfRule>
  </conditionalFormatting>
  <conditionalFormatting sqref="D3:E3">
    <cfRule type="cellIs" dxfId="49" priority="3" stopIfTrue="1" operator="equal">
      <formula>0</formula>
    </cfRule>
  </conditionalFormatting>
  <conditionalFormatting sqref="G3:H3">
    <cfRule type="cellIs" dxfId="48" priority="2" stopIfTrue="1" operator="equal">
      <formula>0</formula>
    </cfRule>
  </conditionalFormatting>
  <conditionalFormatting sqref="J3:K3">
    <cfRule type="cellIs" dxfId="47" priority="1" stopIfTrue="1" operator="equal">
      <formula>0</formula>
    </cfRule>
  </conditionalFormatting>
  <printOptions horizontalCentered="1" verticalCentered="1"/>
  <pageMargins left="0.70866141732283472" right="0.74803149606299213" top="0.98425196850393704" bottom="0.59055118110236227" header="0.31496062992125984" footer="0.31496062992125984"/>
  <pageSetup paperSize="9" scale="95" orientation="landscape" horizontalDpi="4294967294" r:id="rId1"/>
  <headerFooter alignWithMargins="0">
    <oddHeader>&amp;CA szervezeti egységek
 Teljesítmény mutatóinak összehasonlító táblája
2015/2016. évben&amp;R1. sz. melléklet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zoomScaleNormal="100" workbookViewId="0">
      <selection activeCell="M2" sqref="M2"/>
    </sheetView>
  </sheetViews>
  <sheetFormatPr defaultColWidth="9" defaultRowHeight="13.5" customHeight="1" x14ac:dyDescent="0.2"/>
  <cols>
    <col min="1" max="3" width="9" style="131" customWidth="1"/>
    <col min="4" max="5" width="11.7109375" style="131" customWidth="1"/>
    <col min="6" max="6" width="11.7109375" style="165" customWidth="1"/>
    <col min="7" max="8" width="11.7109375" style="131" customWidth="1"/>
    <col min="9" max="9" width="11.7109375" style="165" customWidth="1"/>
    <col min="10" max="11" width="11.7109375" style="131" customWidth="1"/>
    <col min="12" max="12" width="11.7109375" style="165" customWidth="1"/>
    <col min="13" max="256" width="9" style="131"/>
    <col min="257" max="259" width="9" style="131" customWidth="1"/>
    <col min="260" max="268" width="11.7109375" style="131" customWidth="1"/>
    <col min="269" max="512" width="9" style="131"/>
    <col min="513" max="515" width="9" style="131" customWidth="1"/>
    <col min="516" max="524" width="11.7109375" style="131" customWidth="1"/>
    <col min="525" max="768" width="9" style="131"/>
    <col min="769" max="771" width="9" style="131" customWidth="1"/>
    <col min="772" max="780" width="11.7109375" style="131" customWidth="1"/>
    <col min="781" max="1024" width="9" style="131"/>
    <col min="1025" max="1027" width="9" style="131" customWidth="1"/>
    <col min="1028" max="1036" width="11.7109375" style="131" customWidth="1"/>
    <col min="1037" max="1280" width="9" style="131"/>
    <col min="1281" max="1283" width="9" style="131" customWidth="1"/>
    <col min="1284" max="1292" width="11.7109375" style="131" customWidth="1"/>
    <col min="1293" max="1536" width="9" style="131"/>
    <col min="1537" max="1539" width="9" style="131" customWidth="1"/>
    <col min="1540" max="1548" width="11.7109375" style="131" customWidth="1"/>
    <col min="1549" max="1792" width="9" style="131"/>
    <col min="1793" max="1795" width="9" style="131" customWidth="1"/>
    <col min="1796" max="1804" width="11.7109375" style="131" customWidth="1"/>
    <col min="1805" max="2048" width="9" style="131"/>
    <col min="2049" max="2051" width="9" style="131" customWidth="1"/>
    <col min="2052" max="2060" width="11.7109375" style="131" customWidth="1"/>
    <col min="2061" max="2304" width="9" style="131"/>
    <col min="2305" max="2307" width="9" style="131" customWidth="1"/>
    <col min="2308" max="2316" width="11.7109375" style="131" customWidth="1"/>
    <col min="2317" max="2560" width="9" style="131"/>
    <col min="2561" max="2563" width="9" style="131" customWidth="1"/>
    <col min="2564" max="2572" width="11.7109375" style="131" customWidth="1"/>
    <col min="2573" max="2816" width="9" style="131"/>
    <col min="2817" max="2819" width="9" style="131" customWidth="1"/>
    <col min="2820" max="2828" width="11.7109375" style="131" customWidth="1"/>
    <col min="2829" max="3072" width="9" style="131"/>
    <col min="3073" max="3075" width="9" style="131" customWidth="1"/>
    <col min="3076" max="3084" width="11.7109375" style="131" customWidth="1"/>
    <col min="3085" max="3328" width="9" style="131"/>
    <col min="3329" max="3331" width="9" style="131" customWidth="1"/>
    <col min="3332" max="3340" width="11.7109375" style="131" customWidth="1"/>
    <col min="3341" max="3584" width="9" style="131"/>
    <col min="3585" max="3587" width="9" style="131" customWidth="1"/>
    <col min="3588" max="3596" width="11.7109375" style="131" customWidth="1"/>
    <col min="3597" max="3840" width="9" style="131"/>
    <col min="3841" max="3843" width="9" style="131" customWidth="1"/>
    <col min="3844" max="3852" width="11.7109375" style="131" customWidth="1"/>
    <col min="3853" max="4096" width="9" style="131"/>
    <col min="4097" max="4099" width="9" style="131" customWidth="1"/>
    <col min="4100" max="4108" width="11.7109375" style="131" customWidth="1"/>
    <col min="4109" max="4352" width="9" style="131"/>
    <col min="4353" max="4355" width="9" style="131" customWidth="1"/>
    <col min="4356" max="4364" width="11.7109375" style="131" customWidth="1"/>
    <col min="4365" max="4608" width="9" style="131"/>
    <col min="4609" max="4611" width="9" style="131" customWidth="1"/>
    <col min="4612" max="4620" width="11.7109375" style="131" customWidth="1"/>
    <col min="4621" max="4864" width="9" style="131"/>
    <col min="4865" max="4867" width="9" style="131" customWidth="1"/>
    <col min="4868" max="4876" width="11.7109375" style="131" customWidth="1"/>
    <col min="4877" max="5120" width="9" style="131"/>
    <col min="5121" max="5123" width="9" style="131" customWidth="1"/>
    <col min="5124" max="5132" width="11.7109375" style="131" customWidth="1"/>
    <col min="5133" max="5376" width="9" style="131"/>
    <col min="5377" max="5379" width="9" style="131" customWidth="1"/>
    <col min="5380" max="5388" width="11.7109375" style="131" customWidth="1"/>
    <col min="5389" max="5632" width="9" style="131"/>
    <col min="5633" max="5635" width="9" style="131" customWidth="1"/>
    <col min="5636" max="5644" width="11.7109375" style="131" customWidth="1"/>
    <col min="5645" max="5888" width="9" style="131"/>
    <col min="5889" max="5891" width="9" style="131" customWidth="1"/>
    <col min="5892" max="5900" width="11.7109375" style="131" customWidth="1"/>
    <col min="5901" max="6144" width="9" style="131"/>
    <col min="6145" max="6147" width="9" style="131" customWidth="1"/>
    <col min="6148" max="6156" width="11.7109375" style="131" customWidth="1"/>
    <col min="6157" max="6400" width="9" style="131"/>
    <col min="6401" max="6403" width="9" style="131" customWidth="1"/>
    <col min="6404" max="6412" width="11.7109375" style="131" customWidth="1"/>
    <col min="6413" max="6656" width="9" style="131"/>
    <col min="6657" max="6659" width="9" style="131" customWidth="1"/>
    <col min="6660" max="6668" width="11.7109375" style="131" customWidth="1"/>
    <col min="6669" max="6912" width="9" style="131"/>
    <col min="6913" max="6915" width="9" style="131" customWidth="1"/>
    <col min="6916" max="6924" width="11.7109375" style="131" customWidth="1"/>
    <col min="6925" max="7168" width="9" style="131"/>
    <col min="7169" max="7171" width="9" style="131" customWidth="1"/>
    <col min="7172" max="7180" width="11.7109375" style="131" customWidth="1"/>
    <col min="7181" max="7424" width="9" style="131"/>
    <col min="7425" max="7427" width="9" style="131" customWidth="1"/>
    <col min="7428" max="7436" width="11.7109375" style="131" customWidth="1"/>
    <col min="7437" max="7680" width="9" style="131"/>
    <col min="7681" max="7683" width="9" style="131" customWidth="1"/>
    <col min="7684" max="7692" width="11.7109375" style="131" customWidth="1"/>
    <col min="7693" max="7936" width="9" style="131"/>
    <col min="7937" max="7939" width="9" style="131" customWidth="1"/>
    <col min="7940" max="7948" width="11.7109375" style="131" customWidth="1"/>
    <col min="7949" max="8192" width="9" style="131"/>
    <col min="8193" max="8195" width="9" style="131" customWidth="1"/>
    <col min="8196" max="8204" width="11.7109375" style="131" customWidth="1"/>
    <col min="8205" max="8448" width="9" style="131"/>
    <col min="8449" max="8451" width="9" style="131" customWidth="1"/>
    <col min="8452" max="8460" width="11.7109375" style="131" customWidth="1"/>
    <col min="8461" max="8704" width="9" style="131"/>
    <col min="8705" max="8707" width="9" style="131" customWidth="1"/>
    <col min="8708" max="8716" width="11.7109375" style="131" customWidth="1"/>
    <col min="8717" max="8960" width="9" style="131"/>
    <col min="8961" max="8963" width="9" style="131" customWidth="1"/>
    <col min="8964" max="8972" width="11.7109375" style="131" customWidth="1"/>
    <col min="8973" max="9216" width="9" style="131"/>
    <col min="9217" max="9219" width="9" style="131" customWidth="1"/>
    <col min="9220" max="9228" width="11.7109375" style="131" customWidth="1"/>
    <col min="9229" max="9472" width="9" style="131"/>
    <col min="9473" max="9475" width="9" style="131" customWidth="1"/>
    <col min="9476" max="9484" width="11.7109375" style="131" customWidth="1"/>
    <col min="9485" max="9728" width="9" style="131"/>
    <col min="9729" max="9731" width="9" style="131" customWidth="1"/>
    <col min="9732" max="9740" width="11.7109375" style="131" customWidth="1"/>
    <col min="9741" max="9984" width="9" style="131"/>
    <col min="9985" max="9987" width="9" style="131" customWidth="1"/>
    <col min="9988" max="9996" width="11.7109375" style="131" customWidth="1"/>
    <col min="9997" max="10240" width="9" style="131"/>
    <col min="10241" max="10243" width="9" style="131" customWidth="1"/>
    <col min="10244" max="10252" width="11.7109375" style="131" customWidth="1"/>
    <col min="10253" max="10496" width="9" style="131"/>
    <col min="10497" max="10499" width="9" style="131" customWidth="1"/>
    <col min="10500" max="10508" width="11.7109375" style="131" customWidth="1"/>
    <col min="10509" max="10752" width="9" style="131"/>
    <col min="10753" max="10755" width="9" style="131" customWidth="1"/>
    <col min="10756" max="10764" width="11.7109375" style="131" customWidth="1"/>
    <col min="10765" max="11008" width="9" style="131"/>
    <col min="11009" max="11011" width="9" style="131" customWidth="1"/>
    <col min="11012" max="11020" width="11.7109375" style="131" customWidth="1"/>
    <col min="11021" max="11264" width="9" style="131"/>
    <col min="11265" max="11267" width="9" style="131" customWidth="1"/>
    <col min="11268" max="11276" width="11.7109375" style="131" customWidth="1"/>
    <col min="11277" max="11520" width="9" style="131"/>
    <col min="11521" max="11523" width="9" style="131" customWidth="1"/>
    <col min="11524" max="11532" width="11.7109375" style="131" customWidth="1"/>
    <col min="11533" max="11776" width="9" style="131"/>
    <col min="11777" max="11779" width="9" style="131" customWidth="1"/>
    <col min="11780" max="11788" width="11.7109375" style="131" customWidth="1"/>
    <col min="11789" max="12032" width="9" style="131"/>
    <col min="12033" max="12035" width="9" style="131" customWidth="1"/>
    <col min="12036" max="12044" width="11.7109375" style="131" customWidth="1"/>
    <col min="12045" max="12288" width="9" style="131"/>
    <col min="12289" max="12291" width="9" style="131" customWidth="1"/>
    <col min="12292" max="12300" width="11.7109375" style="131" customWidth="1"/>
    <col min="12301" max="12544" width="9" style="131"/>
    <col min="12545" max="12547" width="9" style="131" customWidth="1"/>
    <col min="12548" max="12556" width="11.7109375" style="131" customWidth="1"/>
    <col min="12557" max="12800" width="9" style="131"/>
    <col min="12801" max="12803" width="9" style="131" customWidth="1"/>
    <col min="12804" max="12812" width="11.7109375" style="131" customWidth="1"/>
    <col min="12813" max="13056" width="9" style="131"/>
    <col min="13057" max="13059" width="9" style="131" customWidth="1"/>
    <col min="13060" max="13068" width="11.7109375" style="131" customWidth="1"/>
    <col min="13069" max="13312" width="9" style="131"/>
    <col min="13313" max="13315" width="9" style="131" customWidth="1"/>
    <col min="13316" max="13324" width="11.7109375" style="131" customWidth="1"/>
    <col min="13325" max="13568" width="9" style="131"/>
    <col min="13569" max="13571" width="9" style="131" customWidth="1"/>
    <col min="13572" max="13580" width="11.7109375" style="131" customWidth="1"/>
    <col min="13581" max="13824" width="9" style="131"/>
    <col min="13825" max="13827" width="9" style="131" customWidth="1"/>
    <col min="13828" max="13836" width="11.7109375" style="131" customWidth="1"/>
    <col min="13837" max="14080" width="9" style="131"/>
    <col min="14081" max="14083" width="9" style="131" customWidth="1"/>
    <col min="14084" max="14092" width="11.7109375" style="131" customWidth="1"/>
    <col min="14093" max="14336" width="9" style="131"/>
    <col min="14337" max="14339" width="9" style="131" customWidth="1"/>
    <col min="14340" max="14348" width="11.7109375" style="131" customWidth="1"/>
    <col min="14349" max="14592" width="9" style="131"/>
    <col min="14593" max="14595" width="9" style="131" customWidth="1"/>
    <col min="14596" max="14604" width="11.7109375" style="131" customWidth="1"/>
    <col min="14605" max="14848" width="9" style="131"/>
    <col min="14849" max="14851" width="9" style="131" customWidth="1"/>
    <col min="14852" max="14860" width="11.7109375" style="131" customWidth="1"/>
    <col min="14861" max="15104" width="9" style="131"/>
    <col min="15105" max="15107" width="9" style="131" customWidth="1"/>
    <col min="15108" max="15116" width="11.7109375" style="131" customWidth="1"/>
    <col min="15117" max="15360" width="9" style="131"/>
    <col min="15361" max="15363" width="9" style="131" customWidth="1"/>
    <col min="15364" max="15372" width="11.7109375" style="131" customWidth="1"/>
    <col min="15373" max="15616" width="9" style="131"/>
    <col min="15617" max="15619" width="9" style="131" customWidth="1"/>
    <col min="15620" max="15628" width="11.7109375" style="131" customWidth="1"/>
    <col min="15629" max="15872" width="9" style="131"/>
    <col min="15873" max="15875" width="9" style="131" customWidth="1"/>
    <col min="15876" max="15884" width="11.7109375" style="131" customWidth="1"/>
    <col min="15885" max="16128" width="9" style="131"/>
    <col min="16129" max="16131" width="9" style="131" customWidth="1"/>
    <col min="16132" max="16140" width="11.7109375" style="131" customWidth="1"/>
    <col min="16141" max="16384" width="9" style="131"/>
  </cols>
  <sheetData>
    <row r="1" spans="1:12" ht="13.5" customHeight="1" thickBot="1" x14ac:dyDescent="0.25">
      <c r="A1" s="583" t="s">
        <v>133</v>
      </c>
      <c r="B1" s="584"/>
      <c r="C1" s="585"/>
      <c r="D1" s="592" t="s">
        <v>134</v>
      </c>
      <c r="E1" s="593"/>
      <c r="F1" s="594"/>
      <c r="G1" s="593" t="s">
        <v>135</v>
      </c>
      <c r="H1" s="593"/>
      <c r="I1" s="594"/>
      <c r="J1" s="593" t="s">
        <v>136</v>
      </c>
      <c r="K1" s="593"/>
      <c r="L1" s="594"/>
    </row>
    <row r="2" spans="1:12" ht="13.5" customHeight="1" x14ac:dyDescent="0.2">
      <c r="A2" s="586"/>
      <c r="B2" s="587"/>
      <c r="C2" s="588"/>
      <c r="D2" s="589" t="s">
        <v>137</v>
      </c>
      <c r="E2" s="590"/>
      <c r="F2" s="591"/>
      <c r="G2" s="595" t="s">
        <v>138</v>
      </c>
      <c r="H2" s="596"/>
      <c r="I2" s="597"/>
      <c r="J2" s="595" t="s">
        <v>138</v>
      </c>
      <c r="K2" s="596"/>
      <c r="L2" s="597"/>
    </row>
    <row r="3" spans="1:12" ht="13.5" customHeight="1" x14ac:dyDescent="0.2">
      <c r="A3" s="589"/>
      <c r="B3" s="590"/>
      <c r="C3" s="591"/>
      <c r="D3" s="132">
        <v>2015</v>
      </c>
      <c r="E3" s="133">
        <v>2016</v>
      </c>
      <c r="F3" s="134" t="s">
        <v>139</v>
      </c>
      <c r="G3" s="132">
        <v>2015</v>
      </c>
      <c r="H3" s="133">
        <v>2016</v>
      </c>
      <c r="I3" s="135" t="s">
        <v>139</v>
      </c>
      <c r="J3" s="132">
        <v>2015</v>
      </c>
      <c r="K3" s="133">
        <v>2016</v>
      </c>
      <c r="L3" s="135" t="s">
        <v>139</v>
      </c>
    </row>
    <row r="4" spans="1:12" ht="13.5" customHeight="1" x14ac:dyDescent="0.2">
      <c r="A4" s="598" t="s">
        <v>140</v>
      </c>
      <c r="B4" s="599"/>
      <c r="C4" s="599"/>
      <c r="D4" s="145">
        <v>2302</v>
      </c>
      <c r="E4" s="137">
        <v>1828</v>
      </c>
      <c r="F4" s="138">
        <f t="shared" ref="F4:F26" si="0">E4/D4</f>
        <v>0.79409209383145096</v>
      </c>
      <c r="G4" s="145">
        <v>6213</v>
      </c>
      <c r="H4" s="166">
        <v>4688</v>
      </c>
      <c r="I4" s="138">
        <f t="shared" ref="I4:I26" si="1">H4/G4</f>
        <v>0.75454691775309835</v>
      </c>
      <c r="J4" s="145">
        <v>2387194</v>
      </c>
      <c r="K4" s="137">
        <v>1861549</v>
      </c>
      <c r="L4" s="138">
        <f t="shared" ref="L4:L26" si="2">K4/J4</f>
        <v>0.77980633329339799</v>
      </c>
    </row>
    <row r="5" spans="1:12" ht="13.5" customHeight="1" x14ac:dyDescent="0.2">
      <c r="A5" s="598" t="s">
        <v>141</v>
      </c>
      <c r="B5" s="599"/>
      <c r="C5" s="599"/>
      <c r="D5" s="145">
        <v>3544</v>
      </c>
      <c r="E5" s="166">
        <v>3304</v>
      </c>
      <c r="F5" s="138">
        <f t="shared" si="0"/>
        <v>0.93227990970654628</v>
      </c>
      <c r="G5" s="145">
        <v>9759</v>
      </c>
      <c r="H5" s="166">
        <v>9175</v>
      </c>
      <c r="I5" s="138">
        <f t="shared" si="1"/>
        <v>0.94015780305359153</v>
      </c>
      <c r="J5" s="145">
        <v>1614474</v>
      </c>
      <c r="K5" s="166">
        <v>1533960</v>
      </c>
      <c r="L5" s="138">
        <f t="shared" si="2"/>
        <v>0.95012988750515648</v>
      </c>
    </row>
    <row r="6" spans="1:12" ht="13.5" customHeight="1" x14ac:dyDescent="0.2">
      <c r="A6" s="598" t="s">
        <v>142</v>
      </c>
      <c r="B6" s="599"/>
      <c r="C6" s="599"/>
      <c r="D6" s="145">
        <v>2830</v>
      </c>
      <c r="E6" s="166">
        <v>3493</v>
      </c>
      <c r="F6" s="138">
        <f t="shared" si="0"/>
        <v>1.2342756183745582</v>
      </c>
      <c r="G6" s="145">
        <v>5391</v>
      </c>
      <c r="H6" s="166">
        <v>7533</v>
      </c>
      <c r="I6" s="138">
        <f t="shared" si="1"/>
        <v>1.3973288814691152</v>
      </c>
      <c r="J6" s="145">
        <v>5959166</v>
      </c>
      <c r="K6" s="166">
        <v>9343843</v>
      </c>
      <c r="L6" s="138">
        <f t="shared" si="2"/>
        <v>1.5679783043466149</v>
      </c>
    </row>
    <row r="7" spans="1:12" ht="13.5" customHeight="1" x14ac:dyDescent="0.2">
      <c r="A7" s="581" t="s">
        <v>169</v>
      </c>
      <c r="B7" s="582"/>
      <c r="C7" s="582"/>
      <c r="D7" s="145">
        <v>11871</v>
      </c>
      <c r="E7" s="166">
        <v>12404</v>
      </c>
      <c r="F7" s="138">
        <f t="shared" si="0"/>
        <v>1.044899334512678</v>
      </c>
      <c r="G7" s="145">
        <v>29849</v>
      </c>
      <c r="H7" s="166">
        <v>32544</v>
      </c>
      <c r="I7" s="138">
        <f t="shared" si="1"/>
        <v>1.0902877818352374</v>
      </c>
      <c r="J7" s="145">
        <v>23822426</v>
      </c>
      <c r="K7" s="166">
        <v>26443692</v>
      </c>
      <c r="L7" s="138">
        <f t="shared" si="2"/>
        <v>1.1100335457018526</v>
      </c>
    </row>
    <row r="8" spans="1:12" ht="13.5" customHeight="1" x14ac:dyDescent="0.2">
      <c r="A8" s="581" t="s">
        <v>144</v>
      </c>
      <c r="B8" s="582"/>
      <c r="C8" s="582"/>
      <c r="D8" s="145">
        <v>23786</v>
      </c>
      <c r="E8" s="166">
        <v>22348</v>
      </c>
      <c r="F8" s="138">
        <f t="shared" si="0"/>
        <v>0.93954426973850169</v>
      </c>
      <c r="G8" s="145">
        <v>114916</v>
      </c>
      <c r="H8" s="166">
        <v>100812</v>
      </c>
      <c r="I8" s="138">
        <f t="shared" si="1"/>
        <v>0.87726687319433327</v>
      </c>
      <c r="J8" s="145">
        <v>37941280</v>
      </c>
      <c r="K8" s="166">
        <v>34014490</v>
      </c>
      <c r="L8" s="138">
        <f t="shared" si="2"/>
        <v>0.89650349171140242</v>
      </c>
    </row>
    <row r="9" spans="1:12" ht="13.5" customHeight="1" x14ac:dyDescent="0.2">
      <c r="A9" s="581" t="s">
        <v>145</v>
      </c>
      <c r="B9" s="582"/>
      <c r="C9" s="582"/>
      <c r="D9" s="145">
        <v>12819</v>
      </c>
      <c r="E9" s="166">
        <v>13039</v>
      </c>
      <c r="F9" s="138">
        <f t="shared" si="0"/>
        <v>1.0171620251189641</v>
      </c>
      <c r="G9" s="145">
        <v>55754</v>
      </c>
      <c r="H9" s="166">
        <v>52399</v>
      </c>
      <c r="I9" s="138">
        <f t="shared" si="1"/>
        <v>0.93982494529540483</v>
      </c>
      <c r="J9" s="145">
        <v>18519499</v>
      </c>
      <c r="K9" s="166">
        <v>18018803</v>
      </c>
      <c r="L9" s="138">
        <f t="shared" si="2"/>
        <v>0.97296384745613262</v>
      </c>
    </row>
    <row r="10" spans="1:12" ht="13.5" customHeight="1" x14ac:dyDescent="0.2">
      <c r="A10" s="581" t="s">
        <v>146</v>
      </c>
      <c r="B10" s="582"/>
      <c r="C10" s="582"/>
      <c r="D10" s="145">
        <v>2490</v>
      </c>
      <c r="E10" s="166">
        <v>2458</v>
      </c>
      <c r="F10" s="138">
        <f t="shared" si="0"/>
        <v>0.98714859437751001</v>
      </c>
      <c r="G10" s="145">
        <v>11710</v>
      </c>
      <c r="H10" s="166">
        <v>12034</v>
      </c>
      <c r="I10" s="138">
        <f t="shared" si="1"/>
        <v>1.027668659265585</v>
      </c>
      <c r="J10" s="145">
        <v>3570932</v>
      </c>
      <c r="K10" s="166">
        <v>3673832</v>
      </c>
      <c r="L10" s="138">
        <f t="shared" si="2"/>
        <v>1.0288160065775545</v>
      </c>
    </row>
    <row r="11" spans="1:12" ht="13.5" customHeight="1" x14ac:dyDescent="0.2">
      <c r="A11" s="581" t="s">
        <v>147</v>
      </c>
      <c r="B11" s="582"/>
      <c r="C11" s="582"/>
      <c r="D11" s="145">
        <v>1106</v>
      </c>
      <c r="E11" s="166">
        <v>1102</v>
      </c>
      <c r="F11" s="138">
        <f t="shared" si="0"/>
        <v>0.9963833634719711</v>
      </c>
      <c r="G11" s="145">
        <v>2192</v>
      </c>
      <c r="H11" s="166">
        <v>2189</v>
      </c>
      <c r="I11" s="138">
        <f t="shared" si="1"/>
        <v>0.99863138686131392</v>
      </c>
      <c r="J11" s="145">
        <v>1457736</v>
      </c>
      <c r="K11" s="166">
        <v>1454238</v>
      </c>
      <c r="L11" s="138">
        <f t="shared" si="2"/>
        <v>0.9976003885477206</v>
      </c>
    </row>
    <row r="12" spans="1:12" ht="13.5" customHeight="1" x14ac:dyDescent="0.2">
      <c r="A12" s="581" t="s">
        <v>148</v>
      </c>
      <c r="B12" s="582"/>
      <c r="C12" s="582"/>
      <c r="D12" s="145">
        <v>12628</v>
      </c>
      <c r="E12" s="166">
        <v>12292</v>
      </c>
      <c r="F12" s="138">
        <f t="shared" si="0"/>
        <v>0.97339246119733924</v>
      </c>
      <c r="G12" s="145">
        <v>43536</v>
      </c>
      <c r="H12" s="166">
        <v>45141</v>
      </c>
      <c r="I12" s="138">
        <f t="shared" si="1"/>
        <v>1.0368660418963616</v>
      </c>
      <c r="J12" s="145">
        <v>15204708</v>
      </c>
      <c r="K12" s="166">
        <v>15376550</v>
      </c>
      <c r="L12" s="138">
        <f t="shared" si="2"/>
        <v>1.0113018941238463</v>
      </c>
    </row>
    <row r="13" spans="1:12" ht="13.5" customHeight="1" x14ac:dyDescent="0.2">
      <c r="A13" s="581" t="s">
        <v>149</v>
      </c>
      <c r="B13" s="582"/>
      <c r="C13" s="582"/>
      <c r="D13" s="145">
        <v>10765</v>
      </c>
      <c r="E13" s="166">
        <v>10580</v>
      </c>
      <c r="F13" s="138">
        <f t="shared" si="0"/>
        <v>0.98281467719461213</v>
      </c>
      <c r="G13" s="145">
        <v>34732</v>
      </c>
      <c r="H13" s="166">
        <v>36391</v>
      </c>
      <c r="I13" s="138">
        <f t="shared" si="1"/>
        <v>1.0477657491650352</v>
      </c>
      <c r="J13" s="145">
        <v>9667829</v>
      </c>
      <c r="K13" s="166">
        <v>10180162</v>
      </c>
      <c r="L13" s="138">
        <f t="shared" si="2"/>
        <v>1.052993593494465</v>
      </c>
    </row>
    <row r="14" spans="1:12" ht="13.5" customHeight="1" x14ac:dyDescent="0.2">
      <c r="A14" s="581" t="s">
        <v>150</v>
      </c>
      <c r="B14" s="582"/>
      <c r="C14" s="582"/>
      <c r="D14" s="145">
        <v>1697</v>
      </c>
      <c r="E14" s="166">
        <v>1690</v>
      </c>
      <c r="F14" s="138">
        <f t="shared" si="0"/>
        <v>0.99587507365939898</v>
      </c>
      <c r="G14" s="145">
        <v>11581</v>
      </c>
      <c r="H14" s="166">
        <v>12131</v>
      </c>
      <c r="I14" s="138">
        <f t="shared" si="1"/>
        <v>1.0474915810379068</v>
      </c>
      <c r="J14" s="145">
        <v>2592616</v>
      </c>
      <c r="K14" s="166">
        <v>2742961</v>
      </c>
      <c r="L14" s="138">
        <f t="shared" si="2"/>
        <v>1.0579896907216495</v>
      </c>
    </row>
    <row r="15" spans="1:12" ht="13.5" customHeight="1" x14ac:dyDescent="0.2">
      <c r="A15" s="581" t="s">
        <v>151</v>
      </c>
      <c r="B15" s="582"/>
      <c r="C15" s="582"/>
      <c r="D15" s="145">
        <v>13014</v>
      </c>
      <c r="E15" s="166">
        <v>12817</v>
      </c>
      <c r="F15" s="138">
        <f t="shared" si="0"/>
        <v>0.98486245581681264</v>
      </c>
      <c r="G15" s="145">
        <v>118892</v>
      </c>
      <c r="H15" s="166">
        <v>116647</v>
      </c>
      <c r="I15" s="138">
        <f t="shared" si="1"/>
        <v>0.98111731655620227</v>
      </c>
      <c r="J15" s="145">
        <v>21188810</v>
      </c>
      <c r="K15" s="166">
        <v>20926027</v>
      </c>
      <c r="L15" s="138">
        <f t="shared" si="2"/>
        <v>0.98759802933718321</v>
      </c>
    </row>
    <row r="16" spans="1:12" ht="13.5" customHeight="1" x14ac:dyDescent="0.2">
      <c r="A16" s="581" t="s">
        <v>152</v>
      </c>
      <c r="B16" s="582"/>
      <c r="C16" s="582"/>
      <c r="D16" s="145">
        <v>0</v>
      </c>
      <c r="E16" s="166">
        <v>0</v>
      </c>
      <c r="F16" s="138"/>
      <c r="G16" s="145">
        <v>0</v>
      </c>
      <c r="H16" s="166">
        <v>0</v>
      </c>
      <c r="I16" s="138"/>
      <c r="J16" s="145">
        <v>0</v>
      </c>
      <c r="K16" s="166">
        <v>0</v>
      </c>
      <c r="L16" s="138"/>
    </row>
    <row r="17" spans="1:12" ht="13.5" customHeight="1" x14ac:dyDescent="0.2">
      <c r="A17" s="581" t="s">
        <v>153</v>
      </c>
      <c r="B17" s="582"/>
      <c r="C17" s="600"/>
      <c r="D17" s="145">
        <v>0</v>
      </c>
      <c r="E17" s="166">
        <v>0</v>
      </c>
      <c r="F17" s="138"/>
      <c r="G17" s="145">
        <v>0</v>
      </c>
      <c r="H17" s="166">
        <v>0</v>
      </c>
      <c r="I17" s="138"/>
      <c r="J17" s="145">
        <v>0</v>
      </c>
      <c r="K17" s="166">
        <v>0</v>
      </c>
      <c r="L17" s="138"/>
    </row>
    <row r="18" spans="1:12" ht="13.5" customHeight="1" x14ac:dyDescent="0.2">
      <c r="A18" s="581" t="s">
        <v>154</v>
      </c>
      <c r="B18" s="582"/>
      <c r="C18" s="582"/>
      <c r="D18" s="145">
        <v>8711</v>
      </c>
      <c r="E18" s="166">
        <v>8083</v>
      </c>
      <c r="F18" s="138">
        <f t="shared" si="0"/>
        <v>0.92790724371484334</v>
      </c>
      <c r="G18" s="145">
        <v>39974</v>
      </c>
      <c r="H18" s="166">
        <v>41071</v>
      </c>
      <c r="I18" s="138">
        <f t="shared" si="1"/>
        <v>1.027442837844599</v>
      </c>
      <c r="J18" s="145">
        <v>8881167</v>
      </c>
      <c r="K18" s="166">
        <v>9006832</v>
      </c>
      <c r="L18" s="138">
        <f t="shared" si="2"/>
        <v>1.0141496044382456</v>
      </c>
    </row>
    <row r="19" spans="1:12" ht="13.5" customHeight="1" x14ac:dyDescent="0.2">
      <c r="A19" s="581" t="s">
        <v>155</v>
      </c>
      <c r="B19" s="582"/>
      <c r="C19" s="582"/>
      <c r="D19" s="145">
        <v>1189</v>
      </c>
      <c r="E19" s="166">
        <v>1144</v>
      </c>
      <c r="F19" s="138">
        <f t="shared" si="0"/>
        <v>0.96215306980656012</v>
      </c>
      <c r="G19" s="145">
        <v>2358</v>
      </c>
      <c r="H19" s="166">
        <v>2324</v>
      </c>
      <c r="I19" s="138">
        <f t="shared" si="1"/>
        <v>0.98558100084817646</v>
      </c>
      <c r="J19" s="145">
        <v>1432184</v>
      </c>
      <c r="K19" s="166">
        <v>1398671</v>
      </c>
      <c r="L19" s="138">
        <f t="shared" si="2"/>
        <v>0.97660007373354263</v>
      </c>
    </row>
    <row r="20" spans="1:12" ht="13.5" customHeight="1" x14ac:dyDescent="0.2">
      <c r="A20" s="581" t="s">
        <v>156</v>
      </c>
      <c r="B20" s="582"/>
      <c r="C20" s="582"/>
      <c r="D20" s="145">
        <v>7974</v>
      </c>
      <c r="E20" s="166">
        <v>7934</v>
      </c>
      <c r="F20" s="138">
        <f t="shared" si="0"/>
        <v>0.99498369701529976</v>
      </c>
      <c r="G20" s="145">
        <v>28868</v>
      </c>
      <c r="H20" s="166">
        <v>29558</v>
      </c>
      <c r="I20" s="138">
        <f t="shared" si="1"/>
        <v>1.0239018982956907</v>
      </c>
      <c r="J20" s="145">
        <v>10788649</v>
      </c>
      <c r="K20" s="166">
        <v>10887120</v>
      </c>
      <c r="L20" s="138">
        <f t="shared" si="2"/>
        <v>1.0091272781235168</v>
      </c>
    </row>
    <row r="21" spans="1:12" ht="13.5" customHeight="1" x14ac:dyDescent="0.2">
      <c r="A21" s="581" t="s">
        <v>157</v>
      </c>
      <c r="B21" s="582"/>
      <c r="C21" s="582"/>
      <c r="D21" s="145">
        <v>10300</v>
      </c>
      <c r="E21" s="166">
        <v>10508</v>
      </c>
      <c r="F21" s="138">
        <f t="shared" si="0"/>
        <v>1.0201941747572816</v>
      </c>
      <c r="G21" s="145">
        <v>49844</v>
      </c>
      <c r="H21" s="166">
        <v>49423</v>
      </c>
      <c r="I21" s="138">
        <f t="shared" si="1"/>
        <v>0.9915536473798251</v>
      </c>
      <c r="J21" s="145">
        <v>16019547</v>
      </c>
      <c r="K21" s="166">
        <v>15936309</v>
      </c>
      <c r="L21" s="138">
        <f t="shared" si="2"/>
        <v>0.99480397292133171</v>
      </c>
    </row>
    <row r="22" spans="1:12" ht="13.5" customHeight="1" x14ac:dyDescent="0.2">
      <c r="A22" s="581" t="s">
        <v>158</v>
      </c>
      <c r="B22" s="582"/>
      <c r="C22" s="582"/>
      <c r="D22" s="145">
        <v>35974</v>
      </c>
      <c r="E22" s="166">
        <v>35394</v>
      </c>
      <c r="F22" s="138">
        <f t="shared" si="0"/>
        <v>0.983877244676711</v>
      </c>
      <c r="G22" s="145">
        <v>94954</v>
      </c>
      <c r="H22" s="166">
        <v>87012</v>
      </c>
      <c r="I22" s="138">
        <f t="shared" si="1"/>
        <v>0.91635950038966241</v>
      </c>
      <c r="J22" s="145">
        <v>66987870</v>
      </c>
      <c r="K22" s="166">
        <v>62165494</v>
      </c>
      <c r="L22" s="138">
        <f t="shared" si="2"/>
        <v>0.92801120561080686</v>
      </c>
    </row>
    <row r="23" spans="1:12" ht="13.5" customHeight="1" x14ac:dyDescent="0.2">
      <c r="A23" s="581" t="s">
        <v>159</v>
      </c>
      <c r="B23" s="582"/>
      <c r="C23" s="582"/>
      <c r="D23" s="145">
        <v>16361</v>
      </c>
      <c r="E23" s="166">
        <v>14278</v>
      </c>
      <c r="F23" s="138">
        <f t="shared" si="0"/>
        <v>0.87268504370148525</v>
      </c>
      <c r="G23" s="145">
        <v>178403</v>
      </c>
      <c r="H23" s="166">
        <v>152052</v>
      </c>
      <c r="I23" s="138">
        <f t="shared" si="1"/>
        <v>0.85229508472391158</v>
      </c>
      <c r="J23" s="145">
        <v>25347218</v>
      </c>
      <c r="K23" s="166">
        <v>21875547</v>
      </c>
      <c r="L23" s="138">
        <f t="shared" si="2"/>
        <v>0.8630354226645307</v>
      </c>
    </row>
    <row r="24" spans="1:12" ht="13.5" customHeight="1" x14ac:dyDescent="0.2">
      <c r="A24" s="607" t="s">
        <v>160</v>
      </c>
      <c r="B24" s="608"/>
      <c r="C24" s="609"/>
      <c r="D24" s="145">
        <v>4094</v>
      </c>
      <c r="E24" s="166">
        <v>4334</v>
      </c>
      <c r="F24" s="138">
        <f t="shared" si="0"/>
        <v>1.0586223742061553</v>
      </c>
      <c r="G24" s="145">
        <v>6064</v>
      </c>
      <c r="H24" s="166">
        <v>6530</v>
      </c>
      <c r="I24" s="138">
        <f t="shared" si="1"/>
        <v>1.0768469656992083</v>
      </c>
      <c r="J24" s="145">
        <v>8156744</v>
      </c>
      <c r="K24" s="166">
        <v>9157822</v>
      </c>
      <c r="L24" s="138">
        <f t="shared" si="2"/>
        <v>1.1227300991670206</v>
      </c>
    </row>
    <row r="25" spans="1:12" ht="13.5" customHeight="1" x14ac:dyDescent="0.2">
      <c r="A25" s="581" t="s">
        <v>161</v>
      </c>
      <c r="B25" s="582"/>
      <c r="C25" s="582"/>
      <c r="D25" s="145">
        <v>37662</v>
      </c>
      <c r="E25" s="166">
        <v>37979</v>
      </c>
      <c r="F25" s="138">
        <f t="shared" si="0"/>
        <v>1.0084169720142317</v>
      </c>
      <c r="G25" s="145">
        <v>74955</v>
      </c>
      <c r="H25" s="166">
        <v>85240</v>
      </c>
      <c r="I25" s="138">
        <f t="shared" si="1"/>
        <v>1.137215662730972</v>
      </c>
      <c r="J25" s="145">
        <v>16723965</v>
      </c>
      <c r="K25" s="166">
        <v>19385332</v>
      </c>
      <c r="L25" s="138">
        <f t="shared" si="2"/>
        <v>1.1591349300240703</v>
      </c>
    </row>
    <row r="26" spans="1:12" ht="13.5" customHeight="1" x14ac:dyDescent="0.2">
      <c r="A26" s="581" t="s">
        <v>162</v>
      </c>
      <c r="B26" s="582"/>
      <c r="C26" s="582"/>
      <c r="D26" s="145">
        <v>21205</v>
      </c>
      <c r="E26" s="166">
        <v>24989</v>
      </c>
      <c r="F26" s="138">
        <f t="shared" si="0"/>
        <v>1.17844847913228</v>
      </c>
      <c r="G26" s="145">
        <v>151785</v>
      </c>
      <c r="H26" s="166">
        <v>178250</v>
      </c>
      <c r="I26" s="138">
        <f t="shared" si="1"/>
        <v>1.1743584675692591</v>
      </c>
      <c r="J26" s="145">
        <v>21599184</v>
      </c>
      <c r="K26" s="166">
        <v>25009405</v>
      </c>
      <c r="L26" s="138">
        <f t="shared" si="2"/>
        <v>1.1578865664554736</v>
      </c>
    </row>
    <row r="27" spans="1:12" ht="13.5" customHeight="1" x14ac:dyDescent="0.2">
      <c r="A27" s="581" t="s">
        <v>163</v>
      </c>
      <c r="B27" s="582"/>
      <c r="C27" s="582"/>
      <c r="D27" s="145"/>
      <c r="E27" s="137">
        <v>0</v>
      </c>
      <c r="F27" s="138"/>
      <c r="G27" s="145"/>
      <c r="H27" s="137"/>
      <c r="I27" s="138"/>
      <c r="J27" s="145">
        <v>0</v>
      </c>
      <c r="K27" s="137">
        <v>0</v>
      </c>
      <c r="L27" s="138"/>
    </row>
    <row r="28" spans="1:12" ht="13.5" customHeight="1" x14ac:dyDescent="0.2">
      <c r="A28" s="581" t="s">
        <v>164</v>
      </c>
      <c r="B28" s="582"/>
      <c r="C28" s="582"/>
      <c r="D28" s="141"/>
      <c r="E28" s="142"/>
      <c r="F28" s="138"/>
      <c r="G28" s="141"/>
      <c r="H28" s="142"/>
      <c r="I28" s="138"/>
      <c r="J28" s="141"/>
      <c r="K28" s="142"/>
      <c r="L28" s="138"/>
    </row>
    <row r="29" spans="1:12" ht="13.5" customHeight="1" x14ac:dyDescent="0.2">
      <c r="A29" s="139"/>
      <c r="B29" s="140"/>
      <c r="C29" s="140"/>
      <c r="D29" s="141"/>
      <c r="E29" s="142">
        <v>0</v>
      </c>
      <c r="F29" s="143"/>
      <c r="G29" s="141"/>
      <c r="H29" s="142"/>
      <c r="I29" s="143"/>
      <c r="J29" s="141"/>
      <c r="K29" s="142"/>
      <c r="L29" s="143"/>
    </row>
    <row r="30" spans="1:12" ht="13.5" customHeight="1" x14ac:dyDescent="0.2">
      <c r="A30" s="581" t="s">
        <v>165</v>
      </c>
      <c r="B30" s="582"/>
      <c r="C30" s="600"/>
      <c r="D30" s="145">
        <f>SUM(D4:D28)-D27-D28</f>
        <v>242322</v>
      </c>
      <c r="E30" s="137">
        <f>SUM(E4:E28)-E27-E28</f>
        <v>241998</v>
      </c>
      <c r="F30" s="138">
        <f>E30/D30</f>
        <v>0.99866293609329737</v>
      </c>
      <c r="G30" s="145">
        <f>SUM(G4:G28)-G27-G28</f>
        <v>1071730</v>
      </c>
      <c r="H30" s="137">
        <f>SUM(H4:H28)-H27-H28</f>
        <v>1063144</v>
      </c>
      <c r="I30" s="138">
        <f>H30/G30</f>
        <v>0.99198865385871438</v>
      </c>
      <c r="J30" s="145">
        <f>SUM(J4:J28)-J27-J28</f>
        <v>319863198</v>
      </c>
      <c r="K30" s="137">
        <f>SUM(K4:K28)-K27-K28</f>
        <v>320392639</v>
      </c>
      <c r="L30" s="138">
        <f>K30/J30</f>
        <v>1.0016552107379355</v>
      </c>
    </row>
    <row r="31" spans="1:12" ht="13.5" customHeight="1" thickBot="1" x14ac:dyDescent="0.25">
      <c r="A31" s="146"/>
      <c r="B31" s="147"/>
      <c r="C31" s="147"/>
      <c r="D31" s="148"/>
      <c r="E31" s="149"/>
      <c r="F31" s="150"/>
      <c r="G31" s="148"/>
      <c r="H31" s="149"/>
      <c r="I31" s="150"/>
      <c r="J31" s="148"/>
      <c r="K31" s="149"/>
      <c r="L31" s="150"/>
    </row>
    <row r="32" spans="1:12" ht="13.5" customHeight="1" thickBot="1" x14ac:dyDescent="0.25">
      <c r="A32" s="152" t="s">
        <v>166</v>
      </c>
      <c r="B32" s="153"/>
      <c r="C32" s="153"/>
      <c r="D32" s="154">
        <v>74165</v>
      </c>
      <c r="E32" s="155">
        <v>73130</v>
      </c>
      <c r="F32" s="156">
        <f>E32/D32</f>
        <v>0.98604463021640931</v>
      </c>
      <c r="G32" s="154">
        <v>1353762</v>
      </c>
      <c r="H32" s="155">
        <v>1320865</v>
      </c>
      <c r="I32" s="156">
        <f>H32/G32</f>
        <v>0.97569956905275812</v>
      </c>
      <c r="J32" s="154">
        <v>227180761</v>
      </c>
      <c r="K32" s="155">
        <v>223307921</v>
      </c>
      <c r="L32" s="156">
        <f>K32/J32</f>
        <v>0.98295260574463872</v>
      </c>
    </row>
    <row r="33" spans="1:12" ht="13.5" customHeight="1" thickBot="1" x14ac:dyDescent="0.25">
      <c r="A33" s="157" t="s">
        <v>167</v>
      </c>
      <c r="B33" s="158"/>
      <c r="C33" s="158"/>
      <c r="D33" s="154">
        <f>D27+D28</f>
        <v>0</v>
      </c>
      <c r="E33" s="167">
        <f>E27+E28</f>
        <v>0</v>
      </c>
      <c r="F33" s="156"/>
      <c r="G33" s="154">
        <f>G27+G28</f>
        <v>0</v>
      </c>
      <c r="H33" s="167">
        <f>H27+H28</f>
        <v>0</v>
      </c>
      <c r="I33" s="156"/>
      <c r="J33" s="154">
        <f>J27+J28</f>
        <v>0</v>
      </c>
      <c r="K33" s="167">
        <f>K27+K28</f>
        <v>0</v>
      </c>
      <c r="L33" s="156"/>
    </row>
    <row r="34" spans="1:12" ht="13.5" customHeight="1" x14ac:dyDescent="0.2">
      <c r="A34" s="601"/>
      <c r="B34" s="602"/>
      <c r="C34" s="603"/>
      <c r="D34" s="159"/>
      <c r="E34" s="160"/>
      <c r="F34" s="161"/>
      <c r="G34" s="159"/>
      <c r="H34" s="160"/>
      <c r="I34" s="161"/>
      <c r="J34" s="159"/>
      <c r="K34" s="160"/>
      <c r="L34" s="161"/>
    </row>
    <row r="35" spans="1:12" ht="13.5" customHeight="1" thickBot="1" x14ac:dyDescent="0.25">
      <c r="A35" s="604" t="s">
        <v>168</v>
      </c>
      <c r="B35" s="605"/>
      <c r="C35" s="606"/>
      <c r="D35" s="162">
        <f>SUM(D30:D33)</f>
        <v>316487</v>
      </c>
      <c r="E35" s="163">
        <f>SUM(E30:E33)</f>
        <v>315128</v>
      </c>
      <c r="F35" s="164">
        <f>E35/D35</f>
        <v>0.9957059847639872</v>
      </c>
      <c r="G35" s="163">
        <f>SUM(G30:G33)</f>
        <v>2425492</v>
      </c>
      <c r="H35" s="163">
        <f>SUM(H30:H33)</f>
        <v>2384009</v>
      </c>
      <c r="I35" s="164">
        <f>H35/G35</f>
        <v>0.98289707820104122</v>
      </c>
      <c r="J35" s="163">
        <f>SUM(J30:J33)</f>
        <v>547043959</v>
      </c>
      <c r="K35" s="163">
        <f>SUM(K30:K33)</f>
        <v>543700560</v>
      </c>
      <c r="L35" s="164">
        <f>K35/J35</f>
        <v>0.99388824436319201</v>
      </c>
    </row>
  </sheetData>
  <mergeCells count="35">
    <mergeCell ref="A28:C28"/>
    <mergeCell ref="A30:C30"/>
    <mergeCell ref="A34:C34"/>
    <mergeCell ref="A35:C35"/>
    <mergeCell ref="A22:C22"/>
    <mergeCell ref="A23:C23"/>
    <mergeCell ref="A24:C24"/>
    <mergeCell ref="A25:C25"/>
    <mergeCell ref="A26:C26"/>
    <mergeCell ref="A27:C27"/>
    <mergeCell ref="A21:C21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9:C9"/>
    <mergeCell ref="A1:C3"/>
    <mergeCell ref="D1:F1"/>
    <mergeCell ref="G1:I1"/>
    <mergeCell ref="J1:L1"/>
    <mergeCell ref="D2:F2"/>
    <mergeCell ref="G2:I2"/>
    <mergeCell ref="J2:L2"/>
    <mergeCell ref="A4:C4"/>
    <mergeCell ref="A5:C5"/>
    <mergeCell ref="A6:C6"/>
    <mergeCell ref="A7:C7"/>
    <mergeCell ref="A8:C8"/>
  </mergeCells>
  <conditionalFormatting sqref="A25:C65533 A1:A24 B1:C23 D1:IV65533">
    <cfRule type="cellIs" dxfId="46" priority="5" stopIfTrue="1" operator="equal">
      <formula>0</formula>
    </cfRule>
  </conditionalFormatting>
  <conditionalFormatting sqref="H4:H26">
    <cfRule type="cellIs" dxfId="45" priority="4" stopIfTrue="1" operator="equal">
      <formula>0</formula>
    </cfRule>
  </conditionalFormatting>
  <conditionalFormatting sqref="D32">
    <cfRule type="cellIs" dxfId="44" priority="3" stopIfTrue="1" operator="equal">
      <formula>0</formula>
    </cfRule>
  </conditionalFormatting>
  <conditionalFormatting sqref="G32">
    <cfRule type="cellIs" dxfId="43" priority="2" stopIfTrue="1" operator="equal">
      <formula>0</formula>
    </cfRule>
  </conditionalFormatting>
  <conditionalFormatting sqref="J32">
    <cfRule type="cellIs" dxfId="42" priority="1" stopIfTrue="1" operator="equal">
      <formula>0</formula>
    </cfRule>
  </conditionalFormatting>
  <printOptions horizontalCentered="1" verticalCentered="1"/>
  <pageMargins left="0.70866141732283472" right="0.74803149606299213" top="0.98425196850393704" bottom="0.39370078740157483" header="0.31496062992125984" footer="0.19685039370078741"/>
  <pageSetup paperSize="9" scale="95" orientation="landscape" horizontalDpi="4294967294" r:id="rId1"/>
  <headerFooter alignWithMargins="0">
    <oddHeader>&amp;CA szervezeti egységek
 Teljesítmény mutatóinak összehasonlító táblája
2015/2016. évben (Szegedi úti szakrendelő)&amp;R1/a. sz. melléklet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zoomScaleNormal="100" workbookViewId="0">
      <selection activeCell="M4" sqref="M4"/>
    </sheetView>
  </sheetViews>
  <sheetFormatPr defaultColWidth="9" defaultRowHeight="13.5" customHeight="1" x14ac:dyDescent="0.2"/>
  <cols>
    <col min="1" max="3" width="9" style="131" customWidth="1"/>
    <col min="4" max="5" width="11.7109375" style="131" customWidth="1"/>
    <col min="6" max="6" width="11.7109375" style="165" customWidth="1"/>
    <col min="7" max="8" width="11.7109375" style="131" customWidth="1"/>
    <col min="9" max="9" width="11.7109375" style="165" customWidth="1"/>
    <col min="10" max="11" width="11.7109375" style="131" customWidth="1"/>
    <col min="12" max="12" width="11.7109375" style="165" customWidth="1"/>
    <col min="13" max="256" width="9" style="131"/>
    <col min="257" max="259" width="9" style="131" customWidth="1"/>
    <col min="260" max="268" width="11.7109375" style="131" customWidth="1"/>
    <col min="269" max="512" width="9" style="131"/>
    <col min="513" max="515" width="9" style="131" customWidth="1"/>
    <col min="516" max="524" width="11.7109375" style="131" customWidth="1"/>
    <col min="525" max="768" width="9" style="131"/>
    <col min="769" max="771" width="9" style="131" customWidth="1"/>
    <col min="772" max="780" width="11.7109375" style="131" customWidth="1"/>
    <col min="781" max="1024" width="9" style="131"/>
    <col min="1025" max="1027" width="9" style="131" customWidth="1"/>
    <col min="1028" max="1036" width="11.7109375" style="131" customWidth="1"/>
    <col min="1037" max="1280" width="9" style="131"/>
    <col min="1281" max="1283" width="9" style="131" customWidth="1"/>
    <col min="1284" max="1292" width="11.7109375" style="131" customWidth="1"/>
    <col min="1293" max="1536" width="9" style="131"/>
    <col min="1537" max="1539" width="9" style="131" customWidth="1"/>
    <col min="1540" max="1548" width="11.7109375" style="131" customWidth="1"/>
    <col min="1549" max="1792" width="9" style="131"/>
    <col min="1793" max="1795" width="9" style="131" customWidth="1"/>
    <col min="1796" max="1804" width="11.7109375" style="131" customWidth="1"/>
    <col min="1805" max="2048" width="9" style="131"/>
    <col min="2049" max="2051" width="9" style="131" customWidth="1"/>
    <col min="2052" max="2060" width="11.7109375" style="131" customWidth="1"/>
    <col min="2061" max="2304" width="9" style="131"/>
    <col min="2305" max="2307" width="9" style="131" customWidth="1"/>
    <col min="2308" max="2316" width="11.7109375" style="131" customWidth="1"/>
    <col min="2317" max="2560" width="9" style="131"/>
    <col min="2561" max="2563" width="9" style="131" customWidth="1"/>
    <col min="2564" max="2572" width="11.7109375" style="131" customWidth="1"/>
    <col min="2573" max="2816" width="9" style="131"/>
    <col min="2817" max="2819" width="9" style="131" customWidth="1"/>
    <col min="2820" max="2828" width="11.7109375" style="131" customWidth="1"/>
    <col min="2829" max="3072" width="9" style="131"/>
    <col min="3073" max="3075" width="9" style="131" customWidth="1"/>
    <col min="3076" max="3084" width="11.7109375" style="131" customWidth="1"/>
    <col min="3085" max="3328" width="9" style="131"/>
    <col min="3329" max="3331" width="9" style="131" customWidth="1"/>
    <col min="3332" max="3340" width="11.7109375" style="131" customWidth="1"/>
    <col min="3341" max="3584" width="9" style="131"/>
    <col min="3585" max="3587" width="9" style="131" customWidth="1"/>
    <col min="3588" max="3596" width="11.7109375" style="131" customWidth="1"/>
    <col min="3597" max="3840" width="9" style="131"/>
    <col min="3841" max="3843" width="9" style="131" customWidth="1"/>
    <col min="3844" max="3852" width="11.7109375" style="131" customWidth="1"/>
    <col min="3853" max="4096" width="9" style="131"/>
    <col min="4097" max="4099" width="9" style="131" customWidth="1"/>
    <col min="4100" max="4108" width="11.7109375" style="131" customWidth="1"/>
    <col min="4109" max="4352" width="9" style="131"/>
    <col min="4353" max="4355" width="9" style="131" customWidth="1"/>
    <col min="4356" max="4364" width="11.7109375" style="131" customWidth="1"/>
    <col min="4365" max="4608" width="9" style="131"/>
    <col min="4609" max="4611" width="9" style="131" customWidth="1"/>
    <col min="4612" max="4620" width="11.7109375" style="131" customWidth="1"/>
    <col min="4621" max="4864" width="9" style="131"/>
    <col min="4865" max="4867" width="9" style="131" customWidth="1"/>
    <col min="4868" max="4876" width="11.7109375" style="131" customWidth="1"/>
    <col min="4877" max="5120" width="9" style="131"/>
    <col min="5121" max="5123" width="9" style="131" customWidth="1"/>
    <col min="5124" max="5132" width="11.7109375" style="131" customWidth="1"/>
    <col min="5133" max="5376" width="9" style="131"/>
    <col min="5377" max="5379" width="9" style="131" customWidth="1"/>
    <col min="5380" max="5388" width="11.7109375" style="131" customWidth="1"/>
    <col min="5389" max="5632" width="9" style="131"/>
    <col min="5633" max="5635" width="9" style="131" customWidth="1"/>
    <col min="5636" max="5644" width="11.7109375" style="131" customWidth="1"/>
    <col min="5645" max="5888" width="9" style="131"/>
    <col min="5889" max="5891" width="9" style="131" customWidth="1"/>
    <col min="5892" max="5900" width="11.7109375" style="131" customWidth="1"/>
    <col min="5901" max="6144" width="9" style="131"/>
    <col min="6145" max="6147" width="9" style="131" customWidth="1"/>
    <col min="6148" max="6156" width="11.7109375" style="131" customWidth="1"/>
    <col min="6157" max="6400" width="9" style="131"/>
    <col min="6401" max="6403" width="9" style="131" customWidth="1"/>
    <col min="6404" max="6412" width="11.7109375" style="131" customWidth="1"/>
    <col min="6413" max="6656" width="9" style="131"/>
    <col min="6657" max="6659" width="9" style="131" customWidth="1"/>
    <col min="6660" max="6668" width="11.7109375" style="131" customWidth="1"/>
    <col min="6669" max="6912" width="9" style="131"/>
    <col min="6913" max="6915" width="9" style="131" customWidth="1"/>
    <col min="6916" max="6924" width="11.7109375" style="131" customWidth="1"/>
    <col min="6925" max="7168" width="9" style="131"/>
    <col min="7169" max="7171" width="9" style="131" customWidth="1"/>
    <col min="7172" max="7180" width="11.7109375" style="131" customWidth="1"/>
    <col min="7181" max="7424" width="9" style="131"/>
    <col min="7425" max="7427" width="9" style="131" customWidth="1"/>
    <col min="7428" max="7436" width="11.7109375" style="131" customWidth="1"/>
    <col min="7437" max="7680" width="9" style="131"/>
    <col min="7681" max="7683" width="9" style="131" customWidth="1"/>
    <col min="7684" max="7692" width="11.7109375" style="131" customWidth="1"/>
    <col min="7693" max="7936" width="9" style="131"/>
    <col min="7937" max="7939" width="9" style="131" customWidth="1"/>
    <col min="7940" max="7948" width="11.7109375" style="131" customWidth="1"/>
    <col min="7949" max="8192" width="9" style="131"/>
    <col min="8193" max="8195" width="9" style="131" customWidth="1"/>
    <col min="8196" max="8204" width="11.7109375" style="131" customWidth="1"/>
    <col min="8205" max="8448" width="9" style="131"/>
    <col min="8449" max="8451" width="9" style="131" customWidth="1"/>
    <col min="8452" max="8460" width="11.7109375" style="131" customWidth="1"/>
    <col min="8461" max="8704" width="9" style="131"/>
    <col min="8705" max="8707" width="9" style="131" customWidth="1"/>
    <col min="8708" max="8716" width="11.7109375" style="131" customWidth="1"/>
    <col min="8717" max="8960" width="9" style="131"/>
    <col min="8961" max="8963" width="9" style="131" customWidth="1"/>
    <col min="8964" max="8972" width="11.7109375" style="131" customWidth="1"/>
    <col min="8973" max="9216" width="9" style="131"/>
    <col min="9217" max="9219" width="9" style="131" customWidth="1"/>
    <col min="9220" max="9228" width="11.7109375" style="131" customWidth="1"/>
    <col min="9229" max="9472" width="9" style="131"/>
    <col min="9473" max="9475" width="9" style="131" customWidth="1"/>
    <col min="9476" max="9484" width="11.7109375" style="131" customWidth="1"/>
    <col min="9485" max="9728" width="9" style="131"/>
    <col min="9729" max="9731" width="9" style="131" customWidth="1"/>
    <col min="9732" max="9740" width="11.7109375" style="131" customWidth="1"/>
    <col min="9741" max="9984" width="9" style="131"/>
    <col min="9985" max="9987" width="9" style="131" customWidth="1"/>
    <col min="9988" max="9996" width="11.7109375" style="131" customWidth="1"/>
    <col min="9997" max="10240" width="9" style="131"/>
    <col min="10241" max="10243" width="9" style="131" customWidth="1"/>
    <col min="10244" max="10252" width="11.7109375" style="131" customWidth="1"/>
    <col min="10253" max="10496" width="9" style="131"/>
    <col min="10497" max="10499" width="9" style="131" customWidth="1"/>
    <col min="10500" max="10508" width="11.7109375" style="131" customWidth="1"/>
    <col min="10509" max="10752" width="9" style="131"/>
    <col min="10753" max="10755" width="9" style="131" customWidth="1"/>
    <col min="10756" max="10764" width="11.7109375" style="131" customWidth="1"/>
    <col min="10765" max="11008" width="9" style="131"/>
    <col min="11009" max="11011" width="9" style="131" customWidth="1"/>
    <col min="11012" max="11020" width="11.7109375" style="131" customWidth="1"/>
    <col min="11021" max="11264" width="9" style="131"/>
    <col min="11265" max="11267" width="9" style="131" customWidth="1"/>
    <col min="11268" max="11276" width="11.7109375" style="131" customWidth="1"/>
    <col min="11277" max="11520" width="9" style="131"/>
    <col min="11521" max="11523" width="9" style="131" customWidth="1"/>
    <col min="11524" max="11532" width="11.7109375" style="131" customWidth="1"/>
    <col min="11533" max="11776" width="9" style="131"/>
    <col min="11777" max="11779" width="9" style="131" customWidth="1"/>
    <col min="11780" max="11788" width="11.7109375" style="131" customWidth="1"/>
    <col min="11789" max="12032" width="9" style="131"/>
    <col min="12033" max="12035" width="9" style="131" customWidth="1"/>
    <col min="12036" max="12044" width="11.7109375" style="131" customWidth="1"/>
    <col min="12045" max="12288" width="9" style="131"/>
    <col min="12289" max="12291" width="9" style="131" customWidth="1"/>
    <col min="12292" max="12300" width="11.7109375" style="131" customWidth="1"/>
    <col min="12301" max="12544" width="9" style="131"/>
    <col min="12545" max="12547" width="9" style="131" customWidth="1"/>
    <col min="12548" max="12556" width="11.7109375" style="131" customWidth="1"/>
    <col min="12557" max="12800" width="9" style="131"/>
    <col min="12801" max="12803" width="9" style="131" customWidth="1"/>
    <col min="12804" max="12812" width="11.7109375" style="131" customWidth="1"/>
    <col min="12813" max="13056" width="9" style="131"/>
    <col min="13057" max="13059" width="9" style="131" customWidth="1"/>
    <col min="13060" max="13068" width="11.7109375" style="131" customWidth="1"/>
    <col min="13069" max="13312" width="9" style="131"/>
    <col min="13313" max="13315" width="9" style="131" customWidth="1"/>
    <col min="13316" max="13324" width="11.7109375" style="131" customWidth="1"/>
    <col min="13325" max="13568" width="9" style="131"/>
    <col min="13569" max="13571" width="9" style="131" customWidth="1"/>
    <col min="13572" max="13580" width="11.7109375" style="131" customWidth="1"/>
    <col min="13581" max="13824" width="9" style="131"/>
    <col min="13825" max="13827" width="9" style="131" customWidth="1"/>
    <col min="13828" max="13836" width="11.7109375" style="131" customWidth="1"/>
    <col min="13837" max="14080" width="9" style="131"/>
    <col min="14081" max="14083" width="9" style="131" customWidth="1"/>
    <col min="14084" max="14092" width="11.7109375" style="131" customWidth="1"/>
    <col min="14093" max="14336" width="9" style="131"/>
    <col min="14337" max="14339" width="9" style="131" customWidth="1"/>
    <col min="14340" max="14348" width="11.7109375" style="131" customWidth="1"/>
    <col min="14349" max="14592" width="9" style="131"/>
    <col min="14593" max="14595" width="9" style="131" customWidth="1"/>
    <col min="14596" max="14604" width="11.7109375" style="131" customWidth="1"/>
    <col min="14605" max="14848" width="9" style="131"/>
    <col min="14849" max="14851" width="9" style="131" customWidth="1"/>
    <col min="14852" max="14860" width="11.7109375" style="131" customWidth="1"/>
    <col min="14861" max="15104" width="9" style="131"/>
    <col min="15105" max="15107" width="9" style="131" customWidth="1"/>
    <col min="15108" max="15116" width="11.7109375" style="131" customWidth="1"/>
    <col min="15117" max="15360" width="9" style="131"/>
    <col min="15361" max="15363" width="9" style="131" customWidth="1"/>
    <col min="15364" max="15372" width="11.7109375" style="131" customWidth="1"/>
    <col min="15373" max="15616" width="9" style="131"/>
    <col min="15617" max="15619" width="9" style="131" customWidth="1"/>
    <col min="15620" max="15628" width="11.7109375" style="131" customWidth="1"/>
    <col min="15629" max="15872" width="9" style="131"/>
    <col min="15873" max="15875" width="9" style="131" customWidth="1"/>
    <col min="15876" max="15884" width="11.7109375" style="131" customWidth="1"/>
    <col min="15885" max="16128" width="9" style="131"/>
    <col min="16129" max="16131" width="9" style="131" customWidth="1"/>
    <col min="16132" max="16140" width="11.7109375" style="131" customWidth="1"/>
    <col min="16141" max="16384" width="9" style="131"/>
  </cols>
  <sheetData>
    <row r="1" spans="1:12" ht="13.5" customHeight="1" thickBot="1" x14ac:dyDescent="0.25">
      <c r="A1" s="583" t="s">
        <v>133</v>
      </c>
      <c r="B1" s="584"/>
      <c r="C1" s="585"/>
      <c r="D1" s="592" t="s">
        <v>134</v>
      </c>
      <c r="E1" s="593"/>
      <c r="F1" s="594"/>
      <c r="G1" s="593" t="s">
        <v>135</v>
      </c>
      <c r="H1" s="593"/>
      <c r="I1" s="594"/>
      <c r="J1" s="593" t="s">
        <v>136</v>
      </c>
      <c r="K1" s="593"/>
      <c r="L1" s="594"/>
    </row>
    <row r="2" spans="1:12" ht="13.5" customHeight="1" x14ac:dyDescent="0.2">
      <c r="A2" s="586"/>
      <c r="B2" s="587"/>
      <c r="C2" s="588"/>
      <c r="D2" s="589" t="s">
        <v>137</v>
      </c>
      <c r="E2" s="590"/>
      <c r="F2" s="591"/>
      <c r="G2" s="595" t="s">
        <v>138</v>
      </c>
      <c r="H2" s="596"/>
      <c r="I2" s="597"/>
      <c r="J2" s="595" t="s">
        <v>138</v>
      </c>
      <c r="K2" s="596"/>
      <c r="L2" s="597"/>
    </row>
    <row r="3" spans="1:12" ht="13.5" customHeight="1" x14ac:dyDescent="0.2">
      <c r="A3" s="589"/>
      <c r="B3" s="590"/>
      <c r="C3" s="591"/>
      <c r="D3" s="132">
        <v>2015</v>
      </c>
      <c r="E3" s="133">
        <v>2016</v>
      </c>
      <c r="F3" s="134" t="s">
        <v>139</v>
      </c>
      <c r="G3" s="132">
        <v>2015</v>
      </c>
      <c r="H3" s="133">
        <v>2016</v>
      </c>
      <c r="I3" s="135" t="s">
        <v>139</v>
      </c>
      <c r="J3" s="132">
        <v>2015</v>
      </c>
      <c r="K3" s="133">
        <v>2016</v>
      </c>
      <c r="L3" s="135" t="s">
        <v>139</v>
      </c>
    </row>
    <row r="4" spans="1:12" ht="13.5" customHeight="1" x14ac:dyDescent="0.2">
      <c r="A4" s="598" t="s">
        <v>140</v>
      </c>
      <c r="B4" s="599"/>
      <c r="C4" s="599"/>
      <c r="D4" s="145">
        <v>0</v>
      </c>
      <c r="E4" s="137">
        <v>0</v>
      </c>
      <c r="F4" s="168"/>
      <c r="G4" s="169">
        <v>0</v>
      </c>
      <c r="H4" s="137">
        <v>0</v>
      </c>
      <c r="I4" s="168"/>
      <c r="J4" s="169">
        <v>0</v>
      </c>
      <c r="K4" s="137">
        <v>0</v>
      </c>
      <c r="L4" s="168"/>
    </row>
    <row r="5" spans="1:12" ht="13.5" customHeight="1" x14ac:dyDescent="0.2">
      <c r="A5" s="598" t="s">
        <v>141</v>
      </c>
      <c r="B5" s="599"/>
      <c r="C5" s="599"/>
      <c r="D5" s="145">
        <v>0</v>
      </c>
      <c r="E5" s="137">
        <v>0</v>
      </c>
      <c r="F5" s="138"/>
      <c r="G5" s="145">
        <v>0</v>
      </c>
      <c r="H5" s="137">
        <v>0</v>
      </c>
      <c r="I5" s="138"/>
      <c r="J5" s="166">
        <v>0</v>
      </c>
      <c r="K5" s="137">
        <v>0</v>
      </c>
      <c r="L5" s="138"/>
    </row>
    <row r="6" spans="1:12" ht="13.5" customHeight="1" x14ac:dyDescent="0.2">
      <c r="A6" s="598" t="s">
        <v>142</v>
      </c>
      <c r="B6" s="599"/>
      <c r="C6" s="599"/>
      <c r="D6" s="145">
        <v>0</v>
      </c>
      <c r="E6" s="137">
        <v>0</v>
      </c>
      <c r="F6" s="138"/>
      <c r="G6" s="145">
        <v>0</v>
      </c>
      <c r="H6" s="137">
        <v>0</v>
      </c>
      <c r="I6" s="138"/>
      <c r="J6" s="166">
        <v>0</v>
      </c>
      <c r="K6" s="137">
        <v>0</v>
      </c>
      <c r="L6" s="138"/>
    </row>
    <row r="7" spans="1:12" ht="13.5" customHeight="1" x14ac:dyDescent="0.2">
      <c r="A7" s="581" t="s">
        <v>143</v>
      </c>
      <c r="B7" s="582"/>
      <c r="C7" s="582"/>
      <c r="D7" s="145">
        <v>0</v>
      </c>
      <c r="E7" s="137">
        <v>0</v>
      </c>
      <c r="F7" s="138"/>
      <c r="G7" s="145">
        <v>0</v>
      </c>
      <c r="H7" s="137">
        <v>0</v>
      </c>
      <c r="I7" s="138"/>
      <c r="J7" s="166">
        <v>0</v>
      </c>
      <c r="K7" s="137">
        <v>0</v>
      </c>
      <c r="L7" s="138"/>
    </row>
    <row r="8" spans="1:12" ht="13.5" customHeight="1" x14ac:dyDescent="0.2">
      <c r="A8" s="581" t="s">
        <v>144</v>
      </c>
      <c r="B8" s="582"/>
      <c r="C8" s="582"/>
      <c r="D8" s="145"/>
      <c r="E8" s="137"/>
      <c r="F8" s="138"/>
      <c r="G8" s="145"/>
      <c r="H8" s="137"/>
      <c r="I8" s="138"/>
      <c r="J8" s="166"/>
      <c r="K8" s="137"/>
      <c r="L8" s="138"/>
    </row>
    <row r="9" spans="1:12" ht="13.5" customHeight="1" x14ac:dyDescent="0.2">
      <c r="A9" s="581" t="s">
        <v>145</v>
      </c>
      <c r="B9" s="582"/>
      <c r="C9" s="582"/>
      <c r="D9" s="145"/>
      <c r="E9" s="137"/>
      <c r="F9" s="138"/>
      <c r="G9" s="145"/>
      <c r="H9" s="137"/>
      <c r="I9" s="138"/>
      <c r="J9" s="166"/>
      <c r="K9" s="137"/>
      <c r="L9" s="138"/>
    </row>
    <row r="10" spans="1:12" ht="13.5" customHeight="1" x14ac:dyDescent="0.2">
      <c r="A10" s="581" t="s">
        <v>146</v>
      </c>
      <c r="B10" s="582"/>
      <c r="C10" s="582"/>
      <c r="D10" s="145">
        <v>0</v>
      </c>
      <c r="E10" s="137">
        <v>0</v>
      </c>
      <c r="F10" s="138"/>
      <c r="G10" s="145">
        <v>0</v>
      </c>
      <c r="H10" s="137">
        <v>0</v>
      </c>
      <c r="I10" s="138"/>
      <c r="J10" s="166">
        <v>0</v>
      </c>
      <c r="K10" s="137">
        <v>0</v>
      </c>
      <c r="L10" s="138"/>
    </row>
    <row r="11" spans="1:12" ht="13.5" customHeight="1" x14ac:dyDescent="0.2">
      <c r="A11" s="581" t="s">
        <v>147</v>
      </c>
      <c r="B11" s="582"/>
      <c r="C11" s="582"/>
      <c r="D11" s="145">
        <v>0</v>
      </c>
      <c r="E11" s="137">
        <v>0</v>
      </c>
      <c r="F11" s="138"/>
      <c r="G11" s="145">
        <v>0</v>
      </c>
      <c r="H11" s="137">
        <v>0</v>
      </c>
      <c r="I11" s="138"/>
      <c r="J11" s="166">
        <v>0</v>
      </c>
      <c r="K11" s="137">
        <v>0</v>
      </c>
      <c r="L11" s="138"/>
    </row>
    <row r="12" spans="1:12" ht="13.5" customHeight="1" x14ac:dyDescent="0.2">
      <c r="A12" s="581" t="s">
        <v>148</v>
      </c>
      <c r="B12" s="582"/>
      <c r="C12" s="582"/>
      <c r="D12" s="145">
        <v>10622</v>
      </c>
      <c r="E12" s="137">
        <v>9696</v>
      </c>
      <c r="F12" s="138">
        <f>E12/D12</f>
        <v>0.91282244398418377</v>
      </c>
      <c r="G12" s="145">
        <v>41298</v>
      </c>
      <c r="H12" s="137">
        <v>37907</v>
      </c>
      <c r="I12" s="138">
        <f>H12/G12</f>
        <v>0.91788948617366461</v>
      </c>
      <c r="J12" s="166">
        <v>13644979</v>
      </c>
      <c r="K12" s="137">
        <v>12550910</v>
      </c>
      <c r="L12" s="138">
        <f>K12/J12</f>
        <v>0.91981893119806191</v>
      </c>
    </row>
    <row r="13" spans="1:12" ht="13.5" customHeight="1" x14ac:dyDescent="0.2">
      <c r="A13" s="581" t="s">
        <v>149</v>
      </c>
      <c r="B13" s="582"/>
      <c r="C13" s="582"/>
      <c r="D13" s="145">
        <v>11554</v>
      </c>
      <c r="E13" s="137">
        <v>11330</v>
      </c>
      <c r="F13" s="138">
        <f>E13/D13</f>
        <v>0.98061277479660724</v>
      </c>
      <c r="G13" s="145">
        <v>51887</v>
      </c>
      <c r="H13" s="137">
        <v>37628</v>
      </c>
      <c r="I13" s="138">
        <f>H13/G13</f>
        <v>0.72519128105305763</v>
      </c>
      <c r="J13" s="166">
        <v>12091080</v>
      </c>
      <c r="K13" s="137">
        <v>10910158</v>
      </c>
      <c r="L13" s="138">
        <f>K13/J13</f>
        <v>0.90233113998087844</v>
      </c>
    </row>
    <row r="14" spans="1:12" ht="13.5" customHeight="1" x14ac:dyDescent="0.2">
      <c r="A14" s="581" t="s">
        <v>150</v>
      </c>
      <c r="B14" s="582"/>
      <c r="C14" s="582"/>
      <c r="D14" s="145">
        <v>0</v>
      </c>
      <c r="E14" s="137">
        <v>0</v>
      </c>
      <c r="F14" s="138"/>
      <c r="G14" s="145">
        <v>0</v>
      </c>
      <c r="H14" s="137">
        <v>0</v>
      </c>
      <c r="I14" s="138"/>
      <c r="J14" s="166">
        <v>0</v>
      </c>
      <c r="K14" s="137">
        <v>0</v>
      </c>
      <c r="L14" s="138"/>
    </row>
    <row r="15" spans="1:12" ht="13.5" customHeight="1" x14ac:dyDescent="0.2">
      <c r="A15" s="581" t="s">
        <v>151</v>
      </c>
      <c r="B15" s="582"/>
      <c r="C15" s="582"/>
      <c r="D15" s="145">
        <v>12033</v>
      </c>
      <c r="E15" s="137">
        <v>12278</v>
      </c>
      <c r="F15" s="138">
        <f>E15/D15</f>
        <v>1.0203606748109366</v>
      </c>
      <c r="G15" s="145">
        <v>129926</v>
      </c>
      <c r="H15" s="137">
        <v>128316</v>
      </c>
      <c r="I15" s="138">
        <f>H15/G15</f>
        <v>0.98760833089604849</v>
      </c>
      <c r="J15" s="166">
        <v>20993814</v>
      </c>
      <c r="K15" s="137">
        <v>20475506</v>
      </c>
      <c r="L15" s="138">
        <f>K15/J15</f>
        <v>0.97531139410875989</v>
      </c>
    </row>
    <row r="16" spans="1:12" ht="13.5" customHeight="1" x14ac:dyDescent="0.2">
      <c r="A16" s="581" t="s">
        <v>152</v>
      </c>
      <c r="B16" s="582"/>
      <c r="C16" s="582"/>
      <c r="D16" s="145">
        <v>15515</v>
      </c>
      <c r="E16" s="137">
        <v>13940</v>
      </c>
      <c r="F16" s="138">
        <f>E16/D16</f>
        <v>0.89848533677086695</v>
      </c>
      <c r="G16" s="145">
        <v>73844</v>
      </c>
      <c r="H16" s="137">
        <v>67669</v>
      </c>
      <c r="I16" s="138">
        <f>H16/G16</f>
        <v>0.91637776935160609</v>
      </c>
      <c r="J16" s="166">
        <v>19200017</v>
      </c>
      <c r="K16" s="137">
        <v>16309544</v>
      </c>
      <c r="L16" s="138">
        <f>K16/J16</f>
        <v>0.84945466454534913</v>
      </c>
    </row>
    <row r="17" spans="1:12" ht="13.5" customHeight="1" x14ac:dyDescent="0.2">
      <c r="A17" s="581" t="s">
        <v>153</v>
      </c>
      <c r="B17" s="582"/>
      <c r="C17" s="600"/>
      <c r="D17" s="145">
        <v>1535</v>
      </c>
      <c r="E17" s="137">
        <v>1566</v>
      </c>
      <c r="F17" s="138">
        <f>E17/D17</f>
        <v>1.0201954397394137</v>
      </c>
      <c r="G17" s="145">
        <v>20651</v>
      </c>
      <c r="H17" s="137">
        <v>19625</v>
      </c>
      <c r="I17" s="138">
        <f>H17/G17</f>
        <v>0.95031717592368403</v>
      </c>
      <c r="J17" s="166">
        <v>6857179</v>
      </c>
      <c r="K17" s="137">
        <v>6523394</v>
      </c>
      <c r="L17" s="138">
        <f>K17/J17</f>
        <v>0.95132327740022538</v>
      </c>
    </row>
    <row r="18" spans="1:12" ht="13.5" customHeight="1" x14ac:dyDescent="0.2">
      <c r="A18" s="581" t="s">
        <v>154</v>
      </c>
      <c r="B18" s="582"/>
      <c r="C18" s="582"/>
      <c r="D18" s="145">
        <v>7149</v>
      </c>
      <c r="E18" s="137">
        <v>7547</v>
      </c>
      <c r="F18" s="138">
        <f>E18/D18</f>
        <v>1.0556721219751015</v>
      </c>
      <c r="G18" s="145">
        <v>48165</v>
      </c>
      <c r="H18" s="137">
        <v>52510</v>
      </c>
      <c r="I18" s="138">
        <f>H18/G18</f>
        <v>1.0902107339354303</v>
      </c>
      <c r="J18" s="166">
        <v>11721897</v>
      </c>
      <c r="K18" s="137">
        <v>13515937</v>
      </c>
      <c r="L18" s="138">
        <f>K18/J18</f>
        <v>1.1530503125901892</v>
      </c>
    </row>
    <row r="19" spans="1:12" ht="13.5" customHeight="1" x14ac:dyDescent="0.2">
      <c r="A19" s="581" t="s">
        <v>155</v>
      </c>
      <c r="B19" s="582"/>
      <c r="C19" s="582"/>
      <c r="D19" s="145">
        <v>1790</v>
      </c>
      <c r="E19" s="137">
        <v>1810</v>
      </c>
      <c r="F19" s="138">
        <f>E19/D19</f>
        <v>1.011173184357542</v>
      </c>
      <c r="G19" s="145">
        <v>5840</v>
      </c>
      <c r="H19" s="137">
        <v>5819</v>
      </c>
      <c r="I19" s="138">
        <f>H19/G19</f>
        <v>0.99640410958904113</v>
      </c>
      <c r="J19" s="166">
        <v>2641237</v>
      </c>
      <c r="K19" s="137">
        <v>2732048</v>
      </c>
      <c r="L19" s="138">
        <f>K19/J19</f>
        <v>1.0343819960117173</v>
      </c>
    </row>
    <row r="20" spans="1:12" ht="13.5" customHeight="1" x14ac:dyDescent="0.2">
      <c r="A20" s="581" t="s">
        <v>156</v>
      </c>
      <c r="B20" s="582"/>
      <c r="C20" s="582"/>
      <c r="D20" s="145">
        <v>0</v>
      </c>
      <c r="E20" s="137">
        <v>0</v>
      </c>
      <c r="F20" s="138"/>
      <c r="G20" s="145">
        <v>0</v>
      </c>
      <c r="H20" s="137">
        <v>0</v>
      </c>
      <c r="I20" s="138"/>
      <c r="J20" s="166">
        <v>0</v>
      </c>
      <c r="K20" s="137">
        <v>0</v>
      </c>
      <c r="L20" s="138"/>
    </row>
    <row r="21" spans="1:12" ht="13.5" customHeight="1" x14ac:dyDescent="0.2">
      <c r="A21" s="581" t="s">
        <v>157</v>
      </c>
      <c r="B21" s="582"/>
      <c r="C21" s="582"/>
      <c r="D21" s="145">
        <v>12159</v>
      </c>
      <c r="E21" s="137">
        <v>13318</v>
      </c>
      <c r="F21" s="138">
        <f>E21/D21</f>
        <v>1.095320338843655</v>
      </c>
      <c r="G21" s="145">
        <v>40989</v>
      </c>
      <c r="H21" s="137">
        <v>40255</v>
      </c>
      <c r="I21" s="138">
        <f>H21/G21</f>
        <v>0.98209275659323236</v>
      </c>
      <c r="J21" s="166">
        <v>14241083</v>
      </c>
      <c r="K21" s="137">
        <v>14126231</v>
      </c>
      <c r="L21" s="138">
        <f>K21/J21</f>
        <v>0.99193516391976655</v>
      </c>
    </row>
    <row r="22" spans="1:12" ht="13.5" customHeight="1" x14ac:dyDescent="0.2">
      <c r="A22" s="581" t="s">
        <v>158</v>
      </c>
      <c r="B22" s="582"/>
      <c r="C22" s="582"/>
      <c r="D22" s="145">
        <v>0</v>
      </c>
      <c r="E22" s="137">
        <v>0</v>
      </c>
      <c r="F22" s="138"/>
      <c r="G22" s="145">
        <v>0</v>
      </c>
      <c r="H22" s="137">
        <v>0</v>
      </c>
      <c r="I22" s="138"/>
      <c r="J22" s="166">
        <v>0</v>
      </c>
      <c r="K22" s="137">
        <v>0</v>
      </c>
      <c r="L22" s="138"/>
    </row>
    <row r="23" spans="1:12" ht="13.5" customHeight="1" x14ac:dyDescent="0.2">
      <c r="A23" s="581" t="s">
        <v>159</v>
      </c>
      <c r="B23" s="582"/>
      <c r="C23" s="582"/>
      <c r="D23" s="145">
        <v>17723</v>
      </c>
      <c r="E23" s="137">
        <v>16768</v>
      </c>
      <c r="F23" s="138">
        <f t="shared" ref="F23:F28" si="0">E23/D23</f>
        <v>0.94611521751396488</v>
      </c>
      <c r="G23" s="145">
        <v>152568</v>
      </c>
      <c r="H23" s="137">
        <v>140783</v>
      </c>
      <c r="I23" s="138">
        <f t="shared" ref="I23:I28" si="1">H23/G23</f>
        <v>0.9227557548109695</v>
      </c>
      <c r="J23" s="166">
        <v>27524453</v>
      </c>
      <c r="K23" s="137">
        <v>25641762</v>
      </c>
      <c r="L23" s="138">
        <f t="shared" ref="L23:L28" si="2">K23/J23</f>
        <v>0.93159933096581427</v>
      </c>
    </row>
    <row r="24" spans="1:12" ht="13.5" customHeight="1" x14ac:dyDescent="0.2">
      <c r="A24" s="607" t="s">
        <v>160</v>
      </c>
      <c r="B24" s="608"/>
      <c r="C24" s="609"/>
      <c r="D24" s="145">
        <v>0</v>
      </c>
      <c r="E24" s="137">
        <v>0</v>
      </c>
      <c r="F24" s="138"/>
      <c r="G24" s="145">
        <v>0</v>
      </c>
      <c r="H24" s="137">
        <v>0</v>
      </c>
      <c r="I24" s="138"/>
      <c r="J24" s="166">
        <v>0</v>
      </c>
      <c r="K24" s="137">
        <v>0</v>
      </c>
      <c r="L24" s="138"/>
    </row>
    <row r="25" spans="1:12" ht="13.5" customHeight="1" x14ac:dyDescent="0.2">
      <c r="A25" s="581" t="s">
        <v>161</v>
      </c>
      <c r="B25" s="582"/>
      <c r="C25" s="582"/>
      <c r="D25" s="145">
        <v>27475</v>
      </c>
      <c r="E25" s="137">
        <v>29096</v>
      </c>
      <c r="F25" s="138">
        <f t="shared" si="0"/>
        <v>1.0589990900818926</v>
      </c>
      <c r="G25" s="145">
        <v>67037</v>
      </c>
      <c r="H25" s="137">
        <v>71550</v>
      </c>
      <c r="I25" s="138">
        <f t="shared" si="1"/>
        <v>1.0673210316690782</v>
      </c>
      <c r="J25" s="166">
        <v>14072360</v>
      </c>
      <c r="K25" s="137">
        <v>16143192</v>
      </c>
      <c r="L25" s="138">
        <f t="shared" si="2"/>
        <v>1.1471559852078828</v>
      </c>
    </row>
    <row r="26" spans="1:12" ht="13.5" customHeight="1" x14ac:dyDescent="0.2">
      <c r="A26" s="581" t="s">
        <v>162</v>
      </c>
      <c r="B26" s="582"/>
      <c r="C26" s="582"/>
      <c r="D26" s="145">
        <v>18117</v>
      </c>
      <c r="E26" s="137">
        <v>17609</v>
      </c>
      <c r="F26" s="138">
        <f t="shared" si="0"/>
        <v>0.971960037533808</v>
      </c>
      <c r="G26" s="145">
        <v>121238</v>
      </c>
      <c r="H26" s="137">
        <v>118654</v>
      </c>
      <c r="I26" s="138">
        <f t="shared" si="1"/>
        <v>0.978686550421485</v>
      </c>
      <c r="J26" s="166">
        <v>15812391</v>
      </c>
      <c r="K26" s="137">
        <v>15785728</v>
      </c>
      <c r="L26" s="138">
        <f t="shared" si="2"/>
        <v>0.99831379074802795</v>
      </c>
    </row>
    <row r="27" spans="1:12" ht="13.5" customHeight="1" x14ac:dyDescent="0.2">
      <c r="A27" s="581" t="s">
        <v>163</v>
      </c>
      <c r="B27" s="582"/>
      <c r="C27" s="582"/>
      <c r="D27" s="145">
        <v>158</v>
      </c>
      <c r="E27" s="137"/>
      <c r="F27" s="138">
        <f t="shared" si="0"/>
        <v>0</v>
      </c>
      <c r="G27" s="145">
        <v>747</v>
      </c>
      <c r="H27" s="137"/>
      <c r="I27" s="138">
        <f t="shared" si="1"/>
        <v>0</v>
      </c>
      <c r="J27" s="166">
        <v>195915</v>
      </c>
      <c r="K27" s="137"/>
      <c r="L27" s="138">
        <f t="shared" si="2"/>
        <v>0</v>
      </c>
    </row>
    <row r="28" spans="1:12" ht="13.5" customHeight="1" x14ac:dyDescent="0.2">
      <c r="A28" s="581" t="s">
        <v>164</v>
      </c>
      <c r="B28" s="582"/>
      <c r="C28" s="582"/>
      <c r="D28" s="141">
        <v>7080</v>
      </c>
      <c r="E28" s="142">
        <v>6954</v>
      </c>
      <c r="F28" s="138">
        <f t="shared" si="0"/>
        <v>0.98220338983050848</v>
      </c>
      <c r="G28" s="170">
        <v>16850</v>
      </c>
      <c r="H28" s="142">
        <v>15129</v>
      </c>
      <c r="I28" s="138">
        <f t="shared" si="1"/>
        <v>0.89786350148367955</v>
      </c>
      <c r="J28" s="171">
        <v>7323490</v>
      </c>
      <c r="K28" s="142">
        <v>6425150</v>
      </c>
      <c r="L28" s="138">
        <f t="shared" si="2"/>
        <v>0.87733444027369467</v>
      </c>
    </row>
    <row r="29" spans="1:12" ht="13.5" customHeight="1" x14ac:dyDescent="0.2">
      <c r="A29" s="139"/>
      <c r="B29" s="140"/>
      <c r="C29" s="140"/>
      <c r="D29" s="141"/>
      <c r="E29" s="142"/>
      <c r="F29" s="143"/>
      <c r="G29" s="144"/>
      <c r="H29" s="142"/>
      <c r="I29" s="143"/>
      <c r="J29" s="144"/>
      <c r="K29" s="142"/>
      <c r="L29" s="143"/>
    </row>
    <row r="30" spans="1:12" ht="13.5" customHeight="1" x14ac:dyDescent="0.2">
      <c r="A30" s="581" t="s">
        <v>165</v>
      </c>
      <c r="B30" s="582"/>
      <c r="C30" s="600"/>
      <c r="D30" s="145">
        <f>SUM(D4:D28)-D27-D28</f>
        <v>135672</v>
      </c>
      <c r="E30" s="137">
        <f>SUM(E4:E28)-E27-E28</f>
        <v>134958</v>
      </c>
      <c r="F30" s="138">
        <f>E30/D30</f>
        <v>0.99473730762427026</v>
      </c>
      <c r="G30" s="145">
        <f>SUM(G4:G28)-G27-G28</f>
        <v>753443</v>
      </c>
      <c r="H30" s="137">
        <f>SUM(H4:H28)-H27-H28</f>
        <v>720716</v>
      </c>
      <c r="I30" s="138">
        <f>H30/G30</f>
        <v>0.95656340293824482</v>
      </c>
      <c r="J30" s="145">
        <f>SUM(J4:J28)-J27-J28</f>
        <v>158800490</v>
      </c>
      <c r="K30" s="137">
        <f>SUM(K4:K28)-K27-K28</f>
        <v>154714410</v>
      </c>
      <c r="L30" s="138">
        <f>K30/J30</f>
        <v>0.97426909702860487</v>
      </c>
    </row>
    <row r="31" spans="1:12" ht="13.5" customHeight="1" thickBot="1" x14ac:dyDescent="0.25">
      <c r="A31" s="146"/>
      <c r="B31" s="147"/>
      <c r="C31" s="147"/>
      <c r="D31" s="148"/>
      <c r="E31" s="149"/>
      <c r="F31" s="150"/>
      <c r="G31" s="151"/>
      <c r="H31" s="149"/>
      <c r="I31" s="150"/>
      <c r="J31" s="151"/>
      <c r="K31" s="149"/>
      <c r="L31" s="150"/>
    </row>
    <row r="32" spans="1:12" ht="13.5" customHeight="1" thickBot="1" x14ac:dyDescent="0.25">
      <c r="A32" s="152" t="s">
        <v>166</v>
      </c>
      <c r="B32" s="153"/>
      <c r="C32" s="153"/>
      <c r="D32" s="154"/>
      <c r="E32" s="155"/>
      <c r="F32" s="156"/>
      <c r="G32" s="154"/>
      <c r="H32" s="155"/>
      <c r="I32" s="156"/>
      <c r="J32" s="154"/>
      <c r="K32" s="155"/>
      <c r="L32" s="156"/>
    </row>
    <row r="33" spans="1:12" ht="13.5" customHeight="1" thickBot="1" x14ac:dyDescent="0.25">
      <c r="A33" s="157" t="s">
        <v>167</v>
      </c>
      <c r="B33" s="158"/>
      <c r="C33" s="158"/>
      <c r="D33" s="154">
        <f>D27+D28</f>
        <v>7238</v>
      </c>
      <c r="E33" s="155">
        <f>E27+E28</f>
        <v>6954</v>
      </c>
      <c r="F33" s="156">
        <f>E33/D33</f>
        <v>0.96076264161370539</v>
      </c>
      <c r="G33" s="154">
        <f>G27+G28</f>
        <v>17597</v>
      </c>
      <c r="H33" s="155">
        <f>H27+H28</f>
        <v>15129</v>
      </c>
      <c r="I33" s="156">
        <f>H33/G33</f>
        <v>0.85974882082173099</v>
      </c>
      <c r="J33" s="154">
        <f>J27+J28</f>
        <v>7519405</v>
      </c>
      <c r="K33" s="155">
        <f>K27+K28</f>
        <v>6425150</v>
      </c>
      <c r="L33" s="156">
        <f>K33/J33</f>
        <v>0.85447585281016247</v>
      </c>
    </row>
    <row r="34" spans="1:12" ht="13.5" customHeight="1" x14ac:dyDescent="0.2">
      <c r="A34" s="601"/>
      <c r="B34" s="602"/>
      <c r="C34" s="603"/>
      <c r="D34" s="159"/>
      <c r="E34" s="160"/>
      <c r="F34" s="161"/>
      <c r="G34" s="159"/>
      <c r="H34" s="160"/>
      <c r="I34" s="161"/>
      <c r="J34" s="159"/>
      <c r="K34" s="160"/>
      <c r="L34" s="161"/>
    </row>
    <row r="35" spans="1:12" ht="13.5" customHeight="1" thickBot="1" x14ac:dyDescent="0.25">
      <c r="A35" s="604" t="s">
        <v>170</v>
      </c>
      <c r="B35" s="605"/>
      <c r="C35" s="606"/>
      <c r="D35" s="162">
        <f>SUM(D30:D33)</f>
        <v>142910</v>
      </c>
      <c r="E35" s="163">
        <f>SUM(E30:E33)</f>
        <v>141912</v>
      </c>
      <c r="F35" s="164">
        <f>E35/D35</f>
        <v>0.99301658386397029</v>
      </c>
      <c r="G35" s="163">
        <f>SUM(G30:G33)</f>
        <v>771040</v>
      </c>
      <c r="H35" s="163">
        <f>SUM(H30:H33)</f>
        <v>735845</v>
      </c>
      <c r="I35" s="164">
        <f>H35/G35</f>
        <v>0.95435385972193398</v>
      </c>
      <c r="J35" s="163">
        <f>SUM(J30:J33)</f>
        <v>166319895</v>
      </c>
      <c r="K35" s="163">
        <f>SUM(K30:K33)</f>
        <v>161139560</v>
      </c>
      <c r="L35" s="164">
        <f>K35/J35</f>
        <v>0.96885318500231132</v>
      </c>
    </row>
  </sheetData>
  <mergeCells count="35">
    <mergeCell ref="A28:C28"/>
    <mergeCell ref="A30:C30"/>
    <mergeCell ref="A34:C34"/>
    <mergeCell ref="A35:C35"/>
    <mergeCell ref="A22:C22"/>
    <mergeCell ref="A23:C23"/>
    <mergeCell ref="A24:C24"/>
    <mergeCell ref="A25:C25"/>
    <mergeCell ref="A26:C26"/>
    <mergeCell ref="A27:C27"/>
    <mergeCell ref="A21:C21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9:C9"/>
    <mergeCell ref="A1:C3"/>
    <mergeCell ref="D1:F1"/>
    <mergeCell ref="G1:I1"/>
    <mergeCell ref="J1:L1"/>
    <mergeCell ref="D2:F2"/>
    <mergeCell ref="G2:I2"/>
    <mergeCell ref="J2:L2"/>
    <mergeCell ref="A4:C4"/>
    <mergeCell ref="A5:C5"/>
    <mergeCell ref="A6:C6"/>
    <mergeCell ref="A7:C7"/>
    <mergeCell ref="A8:C8"/>
  </mergeCells>
  <conditionalFormatting sqref="A25:C65533 A1:A24 B1:C23 D1:IV65533">
    <cfRule type="cellIs" dxfId="41" priority="1" stopIfTrue="1" operator="equal">
      <formula>0</formula>
    </cfRule>
  </conditionalFormatting>
  <printOptions horizontalCentered="1" verticalCentered="1"/>
  <pageMargins left="0.70866141732283472" right="0.74803149606299213" top="0.98425196850393704" bottom="0.39370078740157483" header="0.31496062992125984" footer="0.19685039370078741"/>
  <pageSetup paperSize="9" scale="95" orientation="landscape" horizontalDpi="4294967294" r:id="rId1"/>
  <headerFooter alignWithMargins="0">
    <oddHeader>&amp;CA szervezeti egységek
 Teljesítmény mutatóinak összehasonlító táblája
2015/2016. évben (Visegrádi utcai szakrendelő)&amp;R1/b. sz. melléklet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4"/>
  <sheetViews>
    <sheetView topLeftCell="A28" zoomScaleNormal="100" workbookViewId="0">
      <selection activeCell="G44" sqref="G44"/>
    </sheetView>
  </sheetViews>
  <sheetFormatPr defaultRowHeight="13.5" customHeight="1" x14ac:dyDescent="0.2"/>
  <cols>
    <col min="1" max="1" width="23.7109375" style="172" customWidth="1"/>
    <col min="2" max="3" width="13.7109375" style="172" customWidth="1"/>
    <col min="4" max="4" width="9.7109375" style="172" customWidth="1"/>
    <col min="5" max="6" width="13.7109375" style="172" customWidth="1"/>
    <col min="7" max="7" width="9.7109375" style="172" customWidth="1"/>
    <col min="8" max="9" width="13.7109375" style="172" customWidth="1"/>
    <col min="10" max="10" width="9.7109375" style="172" customWidth="1"/>
    <col min="11" max="11" width="9.140625" style="172"/>
    <col min="12" max="15" width="10.7109375" style="572" customWidth="1"/>
    <col min="16" max="16" width="11.85546875" style="572" customWidth="1"/>
    <col min="17" max="17" width="10.7109375" style="572" customWidth="1"/>
    <col min="18" max="20" width="9.140625" style="173"/>
    <col min="21" max="256" width="9.140625" style="172"/>
    <col min="257" max="257" width="21.42578125" style="172" customWidth="1"/>
    <col min="258" max="259" width="13.7109375" style="172" customWidth="1"/>
    <col min="260" max="260" width="9.7109375" style="172" customWidth="1"/>
    <col min="261" max="262" width="13.7109375" style="172" customWidth="1"/>
    <col min="263" max="263" width="9.7109375" style="172" customWidth="1"/>
    <col min="264" max="265" width="13.7109375" style="172" customWidth="1"/>
    <col min="266" max="266" width="9.7109375" style="172" customWidth="1"/>
    <col min="267" max="512" width="9.140625" style="172"/>
    <col min="513" max="513" width="21.42578125" style="172" customWidth="1"/>
    <col min="514" max="515" width="13.7109375" style="172" customWidth="1"/>
    <col min="516" max="516" width="9.7109375" style="172" customWidth="1"/>
    <col min="517" max="518" width="13.7109375" style="172" customWidth="1"/>
    <col min="519" max="519" width="9.7109375" style="172" customWidth="1"/>
    <col min="520" max="521" width="13.7109375" style="172" customWidth="1"/>
    <col min="522" max="522" width="9.7109375" style="172" customWidth="1"/>
    <col min="523" max="768" width="9.140625" style="172"/>
    <col min="769" max="769" width="21.42578125" style="172" customWidth="1"/>
    <col min="770" max="771" width="13.7109375" style="172" customWidth="1"/>
    <col min="772" max="772" width="9.7109375" style="172" customWidth="1"/>
    <col min="773" max="774" width="13.7109375" style="172" customWidth="1"/>
    <col min="775" max="775" width="9.7109375" style="172" customWidth="1"/>
    <col min="776" max="777" width="13.7109375" style="172" customWidth="1"/>
    <col min="778" max="778" width="9.7109375" style="172" customWidth="1"/>
    <col min="779" max="1024" width="9.140625" style="172"/>
    <col min="1025" max="1025" width="21.42578125" style="172" customWidth="1"/>
    <col min="1026" max="1027" width="13.7109375" style="172" customWidth="1"/>
    <col min="1028" max="1028" width="9.7109375" style="172" customWidth="1"/>
    <col min="1029" max="1030" width="13.7109375" style="172" customWidth="1"/>
    <col min="1031" max="1031" width="9.7109375" style="172" customWidth="1"/>
    <col min="1032" max="1033" width="13.7109375" style="172" customWidth="1"/>
    <col min="1034" max="1034" width="9.7109375" style="172" customWidth="1"/>
    <col min="1035" max="1280" width="9.140625" style="172"/>
    <col min="1281" max="1281" width="21.42578125" style="172" customWidth="1"/>
    <col min="1282" max="1283" width="13.7109375" style="172" customWidth="1"/>
    <col min="1284" max="1284" width="9.7109375" style="172" customWidth="1"/>
    <col min="1285" max="1286" width="13.7109375" style="172" customWidth="1"/>
    <col min="1287" max="1287" width="9.7109375" style="172" customWidth="1"/>
    <col min="1288" max="1289" width="13.7109375" style="172" customWidth="1"/>
    <col min="1290" max="1290" width="9.7109375" style="172" customWidth="1"/>
    <col min="1291" max="1536" width="9.140625" style="172"/>
    <col min="1537" max="1537" width="21.42578125" style="172" customWidth="1"/>
    <col min="1538" max="1539" width="13.7109375" style="172" customWidth="1"/>
    <col min="1540" max="1540" width="9.7109375" style="172" customWidth="1"/>
    <col min="1541" max="1542" width="13.7109375" style="172" customWidth="1"/>
    <col min="1543" max="1543" width="9.7109375" style="172" customWidth="1"/>
    <col min="1544" max="1545" width="13.7109375" style="172" customWidth="1"/>
    <col min="1546" max="1546" width="9.7109375" style="172" customWidth="1"/>
    <col min="1547" max="1792" width="9.140625" style="172"/>
    <col min="1793" max="1793" width="21.42578125" style="172" customWidth="1"/>
    <col min="1794" max="1795" width="13.7109375" style="172" customWidth="1"/>
    <col min="1796" max="1796" width="9.7109375" style="172" customWidth="1"/>
    <col min="1797" max="1798" width="13.7109375" style="172" customWidth="1"/>
    <col min="1799" max="1799" width="9.7109375" style="172" customWidth="1"/>
    <col min="1800" max="1801" width="13.7109375" style="172" customWidth="1"/>
    <col min="1802" max="1802" width="9.7109375" style="172" customWidth="1"/>
    <col min="1803" max="2048" width="9.140625" style="172"/>
    <col min="2049" max="2049" width="21.42578125" style="172" customWidth="1"/>
    <col min="2050" max="2051" width="13.7109375" style="172" customWidth="1"/>
    <col min="2052" max="2052" width="9.7109375" style="172" customWidth="1"/>
    <col min="2053" max="2054" width="13.7109375" style="172" customWidth="1"/>
    <col min="2055" max="2055" width="9.7109375" style="172" customWidth="1"/>
    <col min="2056" max="2057" width="13.7109375" style="172" customWidth="1"/>
    <col min="2058" max="2058" width="9.7109375" style="172" customWidth="1"/>
    <col min="2059" max="2304" width="9.140625" style="172"/>
    <col min="2305" max="2305" width="21.42578125" style="172" customWidth="1"/>
    <col min="2306" max="2307" width="13.7109375" style="172" customWidth="1"/>
    <col min="2308" max="2308" width="9.7109375" style="172" customWidth="1"/>
    <col min="2309" max="2310" width="13.7109375" style="172" customWidth="1"/>
    <col min="2311" max="2311" width="9.7109375" style="172" customWidth="1"/>
    <col min="2312" max="2313" width="13.7109375" style="172" customWidth="1"/>
    <col min="2314" max="2314" width="9.7109375" style="172" customWidth="1"/>
    <col min="2315" max="2560" width="9.140625" style="172"/>
    <col min="2561" max="2561" width="21.42578125" style="172" customWidth="1"/>
    <col min="2562" max="2563" width="13.7109375" style="172" customWidth="1"/>
    <col min="2564" max="2564" width="9.7109375" style="172" customWidth="1"/>
    <col min="2565" max="2566" width="13.7109375" style="172" customWidth="1"/>
    <col min="2567" max="2567" width="9.7109375" style="172" customWidth="1"/>
    <col min="2568" max="2569" width="13.7109375" style="172" customWidth="1"/>
    <col min="2570" max="2570" width="9.7109375" style="172" customWidth="1"/>
    <col min="2571" max="2816" width="9.140625" style="172"/>
    <col min="2817" max="2817" width="21.42578125" style="172" customWidth="1"/>
    <col min="2818" max="2819" width="13.7109375" style="172" customWidth="1"/>
    <col min="2820" max="2820" width="9.7109375" style="172" customWidth="1"/>
    <col min="2821" max="2822" width="13.7109375" style="172" customWidth="1"/>
    <col min="2823" max="2823" width="9.7109375" style="172" customWidth="1"/>
    <col min="2824" max="2825" width="13.7109375" style="172" customWidth="1"/>
    <col min="2826" max="2826" width="9.7109375" style="172" customWidth="1"/>
    <col min="2827" max="3072" width="9.140625" style="172"/>
    <col min="3073" max="3073" width="21.42578125" style="172" customWidth="1"/>
    <col min="3074" max="3075" width="13.7109375" style="172" customWidth="1"/>
    <col min="3076" max="3076" width="9.7109375" style="172" customWidth="1"/>
    <col min="3077" max="3078" width="13.7109375" style="172" customWidth="1"/>
    <col min="3079" max="3079" width="9.7109375" style="172" customWidth="1"/>
    <col min="3080" max="3081" width="13.7109375" style="172" customWidth="1"/>
    <col min="3082" max="3082" width="9.7109375" style="172" customWidth="1"/>
    <col min="3083" max="3328" width="9.140625" style="172"/>
    <col min="3329" max="3329" width="21.42578125" style="172" customWidth="1"/>
    <col min="3330" max="3331" width="13.7109375" style="172" customWidth="1"/>
    <col min="3332" max="3332" width="9.7109375" style="172" customWidth="1"/>
    <col min="3333" max="3334" width="13.7109375" style="172" customWidth="1"/>
    <col min="3335" max="3335" width="9.7109375" style="172" customWidth="1"/>
    <col min="3336" max="3337" width="13.7109375" style="172" customWidth="1"/>
    <col min="3338" max="3338" width="9.7109375" style="172" customWidth="1"/>
    <col min="3339" max="3584" width="9.140625" style="172"/>
    <col min="3585" max="3585" width="21.42578125" style="172" customWidth="1"/>
    <col min="3586" max="3587" width="13.7109375" style="172" customWidth="1"/>
    <col min="3588" max="3588" width="9.7109375" style="172" customWidth="1"/>
    <col min="3589" max="3590" width="13.7109375" style="172" customWidth="1"/>
    <col min="3591" max="3591" width="9.7109375" style="172" customWidth="1"/>
    <col min="3592" max="3593" width="13.7109375" style="172" customWidth="1"/>
    <col min="3594" max="3594" width="9.7109375" style="172" customWidth="1"/>
    <col min="3595" max="3840" width="9.140625" style="172"/>
    <col min="3841" max="3841" width="21.42578125" style="172" customWidth="1"/>
    <col min="3842" max="3843" width="13.7109375" style="172" customWidth="1"/>
    <col min="3844" max="3844" width="9.7109375" style="172" customWidth="1"/>
    <col min="3845" max="3846" width="13.7109375" style="172" customWidth="1"/>
    <col min="3847" max="3847" width="9.7109375" style="172" customWidth="1"/>
    <col min="3848" max="3849" width="13.7109375" style="172" customWidth="1"/>
    <col min="3850" max="3850" width="9.7109375" style="172" customWidth="1"/>
    <col min="3851" max="4096" width="9.140625" style="172"/>
    <col min="4097" max="4097" width="21.42578125" style="172" customWidth="1"/>
    <col min="4098" max="4099" width="13.7109375" style="172" customWidth="1"/>
    <col min="4100" max="4100" width="9.7109375" style="172" customWidth="1"/>
    <col min="4101" max="4102" width="13.7109375" style="172" customWidth="1"/>
    <col min="4103" max="4103" width="9.7109375" style="172" customWidth="1"/>
    <col min="4104" max="4105" width="13.7109375" style="172" customWidth="1"/>
    <col min="4106" max="4106" width="9.7109375" style="172" customWidth="1"/>
    <col min="4107" max="4352" width="9.140625" style="172"/>
    <col min="4353" max="4353" width="21.42578125" style="172" customWidth="1"/>
    <col min="4354" max="4355" width="13.7109375" style="172" customWidth="1"/>
    <col min="4356" max="4356" width="9.7109375" style="172" customWidth="1"/>
    <col min="4357" max="4358" width="13.7109375" style="172" customWidth="1"/>
    <col min="4359" max="4359" width="9.7109375" style="172" customWidth="1"/>
    <col min="4360" max="4361" width="13.7109375" style="172" customWidth="1"/>
    <col min="4362" max="4362" width="9.7109375" style="172" customWidth="1"/>
    <col min="4363" max="4608" width="9.140625" style="172"/>
    <col min="4609" max="4609" width="21.42578125" style="172" customWidth="1"/>
    <col min="4610" max="4611" width="13.7109375" style="172" customWidth="1"/>
    <col min="4612" max="4612" width="9.7109375" style="172" customWidth="1"/>
    <col min="4613" max="4614" width="13.7109375" style="172" customWidth="1"/>
    <col min="4615" max="4615" width="9.7109375" style="172" customWidth="1"/>
    <col min="4616" max="4617" width="13.7109375" style="172" customWidth="1"/>
    <col min="4618" max="4618" width="9.7109375" style="172" customWidth="1"/>
    <col min="4619" max="4864" width="9.140625" style="172"/>
    <col min="4865" max="4865" width="21.42578125" style="172" customWidth="1"/>
    <col min="4866" max="4867" width="13.7109375" style="172" customWidth="1"/>
    <col min="4868" max="4868" width="9.7109375" style="172" customWidth="1"/>
    <col min="4869" max="4870" width="13.7109375" style="172" customWidth="1"/>
    <col min="4871" max="4871" width="9.7109375" style="172" customWidth="1"/>
    <col min="4872" max="4873" width="13.7109375" style="172" customWidth="1"/>
    <col min="4874" max="4874" width="9.7109375" style="172" customWidth="1"/>
    <col min="4875" max="5120" width="9.140625" style="172"/>
    <col min="5121" max="5121" width="21.42578125" style="172" customWidth="1"/>
    <col min="5122" max="5123" width="13.7109375" style="172" customWidth="1"/>
    <col min="5124" max="5124" width="9.7109375" style="172" customWidth="1"/>
    <col min="5125" max="5126" width="13.7109375" style="172" customWidth="1"/>
    <col min="5127" max="5127" width="9.7109375" style="172" customWidth="1"/>
    <col min="5128" max="5129" width="13.7109375" style="172" customWidth="1"/>
    <col min="5130" max="5130" width="9.7109375" style="172" customWidth="1"/>
    <col min="5131" max="5376" width="9.140625" style="172"/>
    <col min="5377" max="5377" width="21.42578125" style="172" customWidth="1"/>
    <col min="5378" max="5379" width="13.7109375" style="172" customWidth="1"/>
    <col min="5380" max="5380" width="9.7109375" style="172" customWidth="1"/>
    <col min="5381" max="5382" width="13.7109375" style="172" customWidth="1"/>
    <col min="5383" max="5383" width="9.7109375" style="172" customWidth="1"/>
    <col min="5384" max="5385" width="13.7109375" style="172" customWidth="1"/>
    <col min="5386" max="5386" width="9.7109375" style="172" customWidth="1"/>
    <col min="5387" max="5632" width="9.140625" style="172"/>
    <col min="5633" max="5633" width="21.42578125" style="172" customWidth="1"/>
    <col min="5634" max="5635" width="13.7109375" style="172" customWidth="1"/>
    <col min="5636" max="5636" width="9.7109375" style="172" customWidth="1"/>
    <col min="5637" max="5638" width="13.7109375" style="172" customWidth="1"/>
    <col min="5639" max="5639" width="9.7109375" style="172" customWidth="1"/>
    <col min="5640" max="5641" width="13.7109375" style="172" customWidth="1"/>
    <col min="5642" max="5642" width="9.7109375" style="172" customWidth="1"/>
    <col min="5643" max="5888" width="9.140625" style="172"/>
    <col min="5889" max="5889" width="21.42578125" style="172" customWidth="1"/>
    <col min="5890" max="5891" width="13.7109375" style="172" customWidth="1"/>
    <col min="5892" max="5892" width="9.7109375" style="172" customWidth="1"/>
    <col min="5893" max="5894" width="13.7109375" style="172" customWidth="1"/>
    <col min="5895" max="5895" width="9.7109375" style="172" customWidth="1"/>
    <col min="5896" max="5897" width="13.7109375" style="172" customWidth="1"/>
    <col min="5898" max="5898" width="9.7109375" style="172" customWidth="1"/>
    <col min="5899" max="6144" width="9.140625" style="172"/>
    <col min="6145" max="6145" width="21.42578125" style="172" customWidth="1"/>
    <col min="6146" max="6147" width="13.7109375" style="172" customWidth="1"/>
    <col min="6148" max="6148" width="9.7109375" style="172" customWidth="1"/>
    <col min="6149" max="6150" width="13.7109375" style="172" customWidth="1"/>
    <col min="6151" max="6151" width="9.7109375" style="172" customWidth="1"/>
    <col min="6152" max="6153" width="13.7109375" style="172" customWidth="1"/>
    <col min="6154" max="6154" width="9.7109375" style="172" customWidth="1"/>
    <col min="6155" max="6400" width="9.140625" style="172"/>
    <col min="6401" max="6401" width="21.42578125" style="172" customWidth="1"/>
    <col min="6402" max="6403" width="13.7109375" style="172" customWidth="1"/>
    <col min="6404" max="6404" width="9.7109375" style="172" customWidth="1"/>
    <col min="6405" max="6406" width="13.7109375" style="172" customWidth="1"/>
    <col min="6407" max="6407" width="9.7109375" style="172" customWidth="1"/>
    <col min="6408" max="6409" width="13.7109375" style="172" customWidth="1"/>
    <col min="6410" max="6410" width="9.7109375" style="172" customWidth="1"/>
    <col min="6411" max="6656" width="9.140625" style="172"/>
    <col min="6657" max="6657" width="21.42578125" style="172" customWidth="1"/>
    <col min="6658" max="6659" width="13.7109375" style="172" customWidth="1"/>
    <col min="6660" max="6660" width="9.7109375" style="172" customWidth="1"/>
    <col min="6661" max="6662" width="13.7109375" style="172" customWidth="1"/>
    <col min="6663" max="6663" width="9.7109375" style="172" customWidth="1"/>
    <col min="6664" max="6665" width="13.7109375" style="172" customWidth="1"/>
    <col min="6666" max="6666" width="9.7109375" style="172" customWidth="1"/>
    <col min="6667" max="6912" width="9.140625" style="172"/>
    <col min="6913" max="6913" width="21.42578125" style="172" customWidth="1"/>
    <col min="6914" max="6915" width="13.7109375" style="172" customWidth="1"/>
    <col min="6916" max="6916" width="9.7109375" style="172" customWidth="1"/>
    <col min="6917" max="6918" width="13.7109375" style="172" customWidth="1"/>
    <col min="6919" max="6919" width="9.7109375" style="172" customWidth="1"/>
    <col min="6920" max="6921" width="13.7109375" style="172" customWidth="1"/>
    <col min="6922" max="6922" width="9.7109375" style="172" customWidth="1"/>
    <col min="6923" max="7168" width="9.140625" style="172"/>
    <col min="7169" max="7169" width="21.42578125" style="172" customWidth="1"/>
    <col min="7170" max="7171" width="13.7109375" style="172" customWidth="1"/>
    <col min="7172" max="7172" width="9.7109375" style="172" customWidth="1"/>
    <col min="7173" max="7174" width="13.7109375" style="172" customWidth="1"/>
    <col min="7175" max="7175" width="9.7109375" style="172" customWidth="1"/>
    <col min="7176" max="7177" width="13.7109375" style="172" customWidth="1"/>
    <col min="7178" max="7178" width="9.7109375" style="172" customWidth="1"/>
    <col min="7179" max="7424" width="9.140625" style="172"/>
    <col min="7425" max="7425" width="21.42578125" style="172" customWidth="1"/>
    <col min="7426" max="7427" width="13.7109375" style="172" customWidth="1"/>
    <col min="7428" max="7428" width="9.7109375" style="172" customWidth="1"/>
    <col min="7429" max="7430" width="13.7109375" style="172" customWidth="1"/>
    <col min="7431" max="7431" width="9.7109375" style="172" customWidth="1"/>
    <col min="7432" max="7433" width="13.7109375" style="172" customWidth="1"/>
    <col min="7434" max="7434" width="9.7109375" style="172" customWidth="1"/>
    <col min="7435" max="7680" width="9.140625" style="172"/>
    <col min="7681" max="7681" width="21.42578125" style="172" customWidth="1"/>
    <col min="7682" max="7683" width="13.7109375" style="172" customWidth="1"/>
    <col min="7684" max="7684" width="9.7109375" style="172" customWidth="1"/>
    <col min="7685" max="7686" width="13.7109375" style="172" customWidth="1"/>
    <col min="7687" max="7687" width="9.7109375" style="172" customWidth="1"/>
    <col min="7688" max="7689" width="13.7109375" style="172" customWidth="1"/>
    <col min="7690" max="7690" width="9.7109375" style="172" customWidth="1"/>
    <col min="7691" max="7936" width="9.140625" style="172"/>
    <col min="7937" max="7937" width="21.42578125" style="172" customWidth="1"/>
    <col min="7938" max="7939" width="13.7109375" style="172" customWidth="1"/>
    <col min="7940" max="7940" width="9.7109375" style="172" customWidth="1"/>
    <col min="7941" max="7942" width="13.7109375" style="172" customWidth="1"/>
    <col min="7943" max="7943" width="9.7109375" style="172" customWidth="1"/>
    <col min="7944" max="7945" width="13.7109375" style="172" customWidth="1"/>
    <col min="7946" max="7946" width="9.7109375" style="172" customWidth="1"/>
    <col min="7947" max="8192" width="9.140625" style="172"/>
    <col min="8193" max="8193" width="21.42578125" style="172" customWidth="1"/>
    <col min="8194" max="8195" width="13.7109375" style="172" customWidth="1"/>
    <col min="8196" max="8196" width="9.7109375" style="172" customWidth="1"/>
    <col min="8197" max="8198" width="13.7109375" style="172" customWidth="1"/>
    <col min="8199" max="8199" width="9.7109375" style="172" customWidth="1"/>
    <col min="8200" max="8201" width="13.7109375" style="172" customWidth="1"/>
    <col min="8202" max="8202" width="9.7109375" style="172" customWidth="1"/>
    <col min="8203" max="8448" width="9.140625" style="172"/>
    <col min="8449" max="8449" width="21.42578125" style="172" customWidth="1"/>
    <col min="8450" max="8451" width="13.7109375" style="172" customWidth="1"/>
    <col min="8452" max="8452" width="9.7109375" style="172" customWidth="1"/>
    <col min="8453" max="8454" width="13.7109375" style="172" customWidth="1"/>
    <col min="8455" max="8455" width="9.7109375" style="172" customWidth="1"/>
    <col min="8456" max="8457" width="13.7109375" style="172" customWidth="1"/>
    <col min="8458" max="8458" width="9.7109375" style="172" customWidth="1"/>
    <col min="8459" max="8704" width="9.140625" style="172"/>
    <col min="8705" max="8705" width="21.42578125" style="172" customWidth="1"/>
    <col min="8706" max="8707" width="13.7109375" style="172" customWidth="1"/>
    <col min="8708" max="8708" width="9.7109375" style="172" customWidth="1"/>
    <col min="8709" max="8710" width="13.7109375" style="172" customWidth="1"/>
    <col min="8711" max="8711" width="9.7109375" style="172" customWidth="1"/>
    <col min="8712" max="8713" width="13.7109375" style="172" customWidth="1"/>
    <col min="8714" max="8714" width="9.7109375" style="172" customWidth="1"/>
    <col min="8715" max="8960" width="9.140625" style="172"/>
    <col min="8961" max="8961" width="21.42578125" style="172" customWidth="1"/>
    <col min="8962" max="8963" width="13.7109375" style="172" customWidth="1"/>
    <col min="8964" max="8964" width="9.7109375" style="172" customWidth="1"/>
    <col min="8965" max="8966" width="13.7109375" style="172" customWidth="1"/>
    <col min="8967" max="8967" width="9.7109375" style="172" customWidth="1"/>
    <col min="8968" max="8969" width="13.7109375" style="172" customWidth="1"/>
    <col min="8970" max="8970" width="9.7109375" style="172" customWidth="1"/>
    <col min="8971" max="9216" width="9.140625" style="172"/>
    <col min="9217" max="9217" width="21.42578125" style="172" customWidth="1"/>
    <col min="9218" max="9219" width="13.7109375" style="172" customWidth="1"/>
    <col min="9220" max="9220" width="9.7109375" style="172" customWidth="1"/>
    <col min="9221" max="9222" width="13.7109375" style="172" customWidth="1"/>
    <col min="9223" max="9223" width="9.7109375" style="172" customWidth="1"/>
    <col min="9224" max="9225" width="13.7109375" style="172" customWidth="1"/>
    <col min="9226" max="9226" width="9.7109375" style="172" customWidth="1"/>
    <col min="9227" max="9472" width="9.140625" style="172"/>
    <col min="9473" max="9473" width="21.42578125" style="172" customWidth="1"/>
    <col min="9474" max="9475" width="13.7109375" style="172" customWidth="1"/>
    <col min="9476" max="9476" width="9.7109375" style="172" customWidth="1"/>
    <col min="9477" max="9478" width="13.7109375" style="172" customWidth="1"/>
    <col min="9479" max="9479" width="9.7109375" style="172" customWidth="1"/>
    <col min="9480" max="9481" width="13.7109375" style="172" customWidth="1"/>
    <col min="9482" max="9482" width="9.7109375" style="172" customWidth="1"/>
    <col min="9483" max="9728" width="9.140625" style="172"/>
    <col min="9729" max="9729" width="21.42578125" style="172" customWidth="1"/>
    <col min="9730" max="9731" width="13.7109375" style="172" customWidth="1"/>
    <col min="9732" max="9732" width="9.7109375" style="172" customWidth="1"/>
    <col min="9733" max="9734" width="13.7109375" style="172" customWidth="1"/>
    <col min="9735" max="9735" width="9.7109375" style="172" customWidth="1"/>
    <col min="9736" max="9737" width="13.7109375" style="172" customWidth="1"/>
    <col min="9738" max="9738" width="9.7109375" style="172" customWidth="1"/>
    <col min="9739" max="9984" width="9.140625" style="172"/>
    <col min="9985" max="9985" width="21.42578125" style="172" customWidth="1"/>
    <col min="9986" max="9987" width="13.7109375" style="172" customWidth="1"/>
    <col min="9988" max="9988" width="9.7109375" style="172" customWidth="1"/>
    <col min="9989" max="9990" width="13.7109375" style="172" customWidth="1"/>
    <col min="9991" max="9991" width="9.7109375" style="172" customWidth="1"/>
    <col min="9992" max="9993" width="13.7109375" style="172" customWidth="1"/>
    <col min="9994" max="9994" width="9.7109375" style="172" customWidth="1"/>
    <col min="9995" max="10240" width="9.140625" style="172"/>
    <col min="10241" max="10241" width="21.42578125" style="172" customWidth="1"/>
    <col min="10242" max="10243" width="13.7109375" style="172" customWidth="1"/>
    <col min="10244" max="10244" width="9.7109375" style="172" customWidth="1"/>
    <col min="10245" max="10246" width="13.7109375" style="172" customWidth="1"/>
    <col min="10247" max="10247" width="9.7109375" style="172" customWidth="1"/>
    <col min="10248" max="10249" width="13.7109375" style="172" customWidth="1"/>
    <col min="10250" max="10250" width="9.7109375" style="172" customWidth="1"/>
    <col min="10251" max="10496" width="9.140625" style="172"/>
    <col min="10497" max="10497" width="21.42578125" style="172" customWidth="1"/>
    <col min="10498" max="10499" width="13.7109375" style="172" customWidth="1"/>
    <col min="10500" max="10500" width="9.7109375" style="172" customWidth="1"/>
    <col min="10501" max="10502" width="13.7109375" style="172" customWidth="1"/>
    <col min="10503" max="10503" width="9.7109375" style="172" customWidth="1"/>
    <col min="10504" max="10505" width="13.7109375" style="172" customWidth="1"/>
    <col min="10506" max="10506" width="9.7109375" style="172" customWidth="1"/>
    <col min="10507" max="10752" width="9.140625" style="172"/>
    <col min="10753" max="10753" width="21.42578125" style="172" customWidth="1"/>
    <col min="10754" max="10755" width="13.7109375" style="172" customWidth="1"/>
    <col min="10756" max="10756" width="9.7109375" style="172" customWidth="1"/>
    <col min="10757" max="10758" width="13.7109375" style="172" customWidth="1"/>
    <col min="10759" max="10759" width="9.7109375" style="172" customWidth="1"/>
    <col min="10760" max="10761" width="13.7109375" style="172" customWidth="1"/>
    <col min="10762" max="10762" width="9.7109375" style="172" customWidth="1"/>
    <col min="10763" max="11008" width="9.140625" style="172"/>
    <col min="11009" max="11009" width="21.42578125" style="172" customWidth="1"/>
    <col min="11010" max="11011" width="13.7109375" style="172" customWidth="1"/>
    <col min="11012" max="11012" width="9.7109375" style="172" customWidth="1"/>
    <col min="11013" max="11014" width="13.7109375" style="172" customWidth="1"/>
    <col min="11015" max="11015" width="9.7109375" style="172" customWidth="1"/>
    <col min="11016" max="11017" width="13.7109375" style="172" customWidth="1"/>
    <col min="11018" max="11018" width="9.7109375" style="172" customWidth="1"/>
    <col min="11019" max="11264" width="9.140625" style="172"/>
    <col min="11265" max="11265" width="21.42578125" style="172" customWidth="1"/>
    <col min="11266" max="11267" width="13.7109375" style="172" customWidth="1"/>
    <col min="11268" max="11268" width="9.7109375" style="172" customWidth="1"/>
    <col min="11269" max="11270" width="13.7109375" style="172" customWidth="1"/>
    <col min="11271" max="11271" width="9.7109375" style="172" customWidth="1"/>
    <col min="11272" max="11273" width="13.7109375" style="172" customWidth="1"/>
    <col min="11274" max="11274" width="9.7109375" style="172" customWidth="1"/>
    <col min="11275" max="11520" width="9.140625" style="172"/>
    <col min="11521" max="11521" width="21.42578125" style="172" customWidth="1"/>
    <col min="11522" max="11523" width="13.7109375" style="172" customWidth="1"/>
    <col min="11524" max="11524" width="9.7109375" style="172" customWidth="1"/>
    <col min="11525" max="11526" width="13.7109375" style="172" customWidth="1"/>
    <col min="11527" max="11527" width="9.7109375" style="172" customWidth="1"/>
    <col min="11528" max="11529" width="13.7109375" style="172" customWidth="1"/>
    <col min="11530" max="11530" width="9.7109375" style="172" customWidth="1"/>
    <col min="11531" max="11776" width="9.140625" style="172"/>
    <col min="11777" max="11777" width="21.42578125" style="172" customWidth="1"/>
    <col min="11778" max="11779" width="13.7109375" style="172" customWidth="1"/>
    <col min="11780" max="11780" width="9.7109375" style="172" customWidth="1"/>
    <col min="11781" max="11782" width="13.7109375" style="172" customWidth="1"/>
    <col min="11783" max="11783" width="9.7109375" style="172" customWidth="1"/>
    <col min="11784" max="11785" width="13.7109375" style="172" customWidth="1"/>
    <col min="11786" max="11786" width="9.7109375" style="172" customWidth="1"/>
    <col min="11787" max="12032" width="9.140625" style="172"/>
    <col min="12033" max="12033" width="21.42578125" style="172" customWidth="1"/>
    <col min="12034" max="12035" width="13.7109375" style="172" customWidth="1"/>
    <col min="12036" max="12036" width="9.7109375" style="172" customWidth="1"/>
    <col min="12037" max="12038" width="13.7109375" style="172" customWidth="1"/>
    <col min="12039" max="12039" width="9.7109375" style="172" customWidth="1"/>
    <col min="12040" max="12041" width="13.7109375" style="172" customWidth="1"/>
    <col min="12042" max="12042" width="9.7109375" style="172" customWidth="1"/>
    <col min="12043" max="12288" width="9.140625" style="172"/>
    <col min="12289" max="12289" width="21.42578125" style="172" customWidth="1"/>
    <col min="12290" max="12291" width="13.7109375" style="172" customWidth="1"/>
    <col min="12292" max="12292" width="9.7109375" style="172" customWidth="1"/>
    <col min="12293" max="12294" width="13.7109375" style="172" customWidth="1"/>
    <col min="12295" max="12295" width="9.7109375" style="172" customWidth="1"/>
    <col min="12296" max="12297" width="13.7109375" style="172" customWidth="1"/>
    <col min="12298" max="12298" width="9.7109375" style="172" customWidth="1"/>
    <col min="12299" max="12544" width="9.140625" style="172"/>
    <col min="12545" max="12545" width="21.42578125" style="172" customWidth="1"/>
    <col min="12546" max="12547" width="13.7109375" style="172" customWidth="1"/>
    <col min="12548" max="12548" width="9.7109375" style="172" customWidth="1"/>
    <col min="12549" max="12550" width="13.7109375" style="172" customWidth="1"/>
    <col min="12551" max="12551" width="9.7109375" style="172" customWidth="1"/>
    <col min="12552" max="12553" width="13.7109375" style="172" customWidth="1"/>
    <col min="12554" max="12554" width="9.7109375" style="172" customWidth="1"/>
    <col min="12555" max="12800" width="9.140625" style="172"/>
    <col min="12801" max="12801" width="21.42578125" style="172" customWidth="1"/>
    <col min="12802" max="12803" width="13.7109375" style="172" customWidth="1"/>
    <col min="12804" max="12804" width="9.7109375" style="172" customWidth="1"/>
    <col min="12805" max="12806" width="13.7109375" style="172" customWidth="1"/>
    <col min="12807" max="12807" width="9.7109375" style="172" customWidth="1"/>
    <col min="12808" max="12809" width="13.7109375" style="172" customWidth="1"/>
    <col min="12810" max="12810" width="9.7109375" style="172" customWidth="1"/>
    <col min="12811" max="13056" width="9.140625" style="172"/>
    <col min="13057" max="13057" width="21.42578125" style="172" customWidth="1"/>
    <col min="13058" max="13059" width="13.7109375" style="172" customWidth="1"/>
    <col min="13060" max="13060" width="9.7109375" style="172" customWidth="1"/>
    <col min="13061" max="13062" width="13.7109375" style="172" customWidth="1"/>
    <col min="13063" max="13063" width="9.7109375" style="172" customWidth="1"/>
    <col min="13064" max="13065" width="13.7109375" style="172" customWidth="1"/>
    <col min="13066" max="13066" width="9.7109375" style="172" customWidth="1"/>
    <col min="13067" max="13312" width="9.140625" style="172"/>
    <col min="13313" max="13313" width="21.42578125" style="172" customWidth="1"/>
    <col min="13314" max="13315" width="13.7109375" style="172" customWidth="1"/>
    <col min="13316" max="13316" width="9.7109375" style="172" customWidth="1"/>
    <col min="13317" max="13318" width="13.7109375" style="172" customWidth="1"/>
    <col min="13319" max="13319" width="9.7109375" style="172" customWidth="1"/>
    <col min="13320" max="13321" width="13.7109375" style="172" customWidth="1"/>
    <col min="13322" max="13322" width="9.7109375" style="172" customWidth="1"/>
    <col min="13323" max="13568" width="9.140625" style="172"/>
    <col min="13569" max="13569" width="21.42578125" style="172" customWidth="1"/>
    <col min="13570" max="13571" width="13.7109375" style="172" customWidth="1"/>
    <col min="13572" max="13572" width="9.7109375" style="172" customWidth="1"/>
    <col min="13573" max="13574" width="13.7109375" style="172" customWidth="1"/>
    <col min="13575" max="13575" width="9.7109375" style="172" customWidth="1"/>
    <col min="13576" max="13577" width="13.7109375" style="172" customWidth="1"/>
    <col min="13578" max="13578" width="9.7109375" style="172" customWidth="1"/>
    <col min="13579" max="13824" width="9.140625" style="172"/>
    <col min="13825" max="13825" width="21.42578125" style="172" customWidth="1"/>
    <col min="13826" max="13827" width="13.7109375" style="172" customWidth="1"/>
    <col min="13828" max="13828" width="9.7109375" style="172" customWidth="1"/>
    <col min="13829" max="13830" width="13.7109375" style="172" customWidth="1"/>
    <col min="13831" max="13831" width="9.7109375" style="172" customWidth="1"/>
    <col min="13832" max="13833" width="13.7109375" style="172" customWidth="1"/>
    <col min="13834" max="13834" width="9.7109375" style="172" customWidth="1"/>
    <col min="13835" max="14080" width="9.140625" style="172"/>
    <col min="14081" max="14081" width="21.42578125" style="172" customWidth="1"/>
    <col min="14082" max="14083" width="13.7109375" style="172" customWidth="1"/>
    <col min="14084" max="14084" width="9.7109375" style="172" customWidth="1"/>
    <col min="14085" max="14086" width="13.7109375" style="172" customWidth="1"/>
    <col min="14087" max="14087" width="9.7109375" style="172" customWidth="1"/>
    <col min="14088" max="14089" width="13.7109375" style="172" customWidth="1"/>
    <col min="14090" max="14090" width="9.7109375" style="172" customWidth="1"/>
    <col min="14091" max="14336" width="9.140625" style="172"/>
    <col min="14337" max="14337" width="21.42578125" style="172" customWidth="1"/>
    <col min="14338" max="14339" width="13.7109375" style="172" customWidth="1"/>
    <col min="14340" max="14340" width="9.7109375" style="172" customWidth="1"/>
    <col min="14341" max="14342" width="13.7109375" style="172" customWidth="1"/>
    <col min="14343" max="14343" width="9.7109375" style="172" customWidth="1"/>
    <col min="14344" max="14345" width="13.7109375" style="172" customWidth="1"/>
    <col min="14346" max="14346" width="9.7109375" style="172" customWidth="1"/>
    <col min="14347" max="14592" width="9.140625" style="172"/>
    <col min="14593" max="14593" width="21.42578125" style="172" customWidth="1"/>
    <col min="14594" max="14595" width="13.7109375" style="172" customWidth="1"/>
    <col min="14596" max="14596" width="9.7109375" style="172" customWidth="1"/>
    <col min="14597" max="14598" width="13.7109375" style="172" customWidth="1"/>
    <col min="14599" max="14599" width="9.7109375" style="172" customWidth="1"/>
    <col min="14600" max="14601" width="13.7109375" style="172" customWidth="1"/>
    <col min="14602" max="14602" width="9.7109375" style="172" customWidth="1"/>
    <col min="14603" max="14848" width="9.140625" style="172"/>
    <col min="14849" max="14849" width="21.42578125" style="172" customWidth="1"/>
    <col min="14850" max="14851" width="13.7109375" style="172" customWidth="1"/>
    <col min="14852" max="14852" width="9.7109375" style="172" customWidth="1"/>
    <col min="14853" max="14854" width="13.7109375" style="172" customWidth="1"/>
    <col min="14855" max="14855" width="9.7109375" style="172" customWidth="1"/>
    <col min="14856" max="14857" width="13.7109375" style="172" customWidth="1"/>
    <col min="14858" max="14858" width="9.7109375" style="172" customWidth="1"/>
    <col min="14859" max="15104" width="9.140625" style="172"/>
    <col min="15105" max="15105" width="21.42578125" style="172" customWidth="1"/>
    <col min="15106" max="15107" width="13.7109375" style="172" customWidth="1"/>
    <col min="15108" max="15108" width="9.7109375" style="172" customWidth="1"/>
    <col min="15109" max="15110" width="13.7109375" style="172" customWidth="1"/>
    <col min="15111" max="15111" width="9.7109375" style="172" customWidth="1"/>
    <col min="15112" max="15113" width="13.7109375" style="172" customWidth="1"/>
    <col min="15114" max="15114" width="9.7109375" style="172" customWidth="1"/>
    <col min="15115" max="15360" width="9.140625" style="172"/>
    <col min="15361" max="15361" width="21.42578125" style="172" customWidth="1"/>
    <col min="15362" max="15363" width="13.7109375" style="172" customWidth="1"/>
    <col min="15364" max="15364" width="9.7109375" style="172" customWidth="1"/>
    <col min="15365" max="15366" width="13.7109375" style="172" customWidth="1"/>
    <col min="15367" max="15367" width="9.7109375" style="172" customWidth="1"/>
    <col min="15368" max="15369" width="13.7109375" style="172" customWidth="1"/>
    <col min="15370" max="15370" width="9.7109375" style="172" customWidth="1"/>
    <col min="15371" max="15616" width="9.140625" style="172"/>
    <col min="15617" max="15617" width="21.42578125" style="172" customWidth="1"/>
    <col min="15618" max="15619" width="13.7109375" style="172" customWidth="1"/>
    <col min="15620" max="15620" width="9.7109375" style="172" customWidth="1"/>
    <col min="15621" max="15622" width="13.7109375" style="172" customWidth="1"/>
    <col min="15623" max="15623" width="9.7109375" style="172" customWidth="1"/>
    <col min="15624" max="15625" width="13.7109375" style="172" customWidth="1"/>
    <col min="15626" max="15626" width="9.7109375" style="172" customWidth="1"/>
    <col min="15627" max="15872" width="9.140625" style="172"/>
    <col min="15873" max="15873" width="21.42578125" style="172" customWidth="1"/>
    <col min="15874" max="15875" width="13.7109375" style="172" customWidth="1"/>
    <col min="15876" max="15876" width="9.7109375" style="172" customWidth="1"/>
    <col min="15877" max="15878" width="13.7109375" style="172" customWidth="1"/>
    <col min="15879" max="15879" width="9.7109375" style="172" customWidth="1"/>
    <col min="15880" max="15881" width="13.7109375" style="172" customWidth="1"/>
    <col min="15882" max="15882" width="9.7109375" style="172" customWidth="1"/>
    <col min="15883" max="16128" width="9.140625" style="172"/>
    <col min="16129" max="16129" width="21.42578125" style="172" customWidth="1"/>
    <col min="16130" max="16131" width="13.7109375" style="172" customWidth="1"/>
    <col min="16132" max="16132" width="9.7109375" style="172" customWidth="1"/>
    <col min="16133" max="16134" width="13.7109375" style="172" customWidth="1"/>
    <col min="16135" max="16135" width="9.7109375" style="172" customWidth="1"/>
    <col min="16136" max="16137" width="13.7109375" style="172" customWidth="1"/>
    <col min="16138" max="16138" width="9.7109375" style="172" customWidth="1"/>
    <col min="16139" max="16384" width="9.140625" style="172"/>
  </cols>
  <sheetData>
    <row r="1" spans="1:17" ht="13.5" customHeight="1" x14ac:dyDescent="0.2">
      <c r="A1" s="611"/>
      <c r="B1" s="613" t="s">
        <v>171</v>
      </c>
      <c r="C1" s="614"/>
      <c r="D1" s="615"/>
      <c r="E1" s="613" t="s">
        <v>172</v>
      </c>
      <c r="F1" s="614"/>
      <c r="G1" s="615"/>
      <c r="H1" s="616" t="s">
        <v>173</v>
      </c>
      <c r="I1" s="616"/>
      <c r="J1" s="617"/>
      <c r="L1" s="610" t="s">
        <v>174</v>
      </c>
      <c r="M1" s="610"/>
      <c r="N1" s="610" t="s">
        <v>175</v>
      </c>
      <c r="O1" s="610"/>
      <c r="P1" s="610" t="s">
        <v>176</v>
      </c>
      <c r="Q1" s="610"/>
    </row>
    <row r="2" spans="1:17" ht="30" customHeight="1" thickBot="1" x14ac:dyDescent="0.25">
      <c r="A2" s="612"/>
      <c r="B2" s="174" t="s">
        <v>238</v>
      </c>
      <c r="C2" s="175" t="s">
        <v>248</v>
      </c>
      <c r="D2" s="176" t="s">
        <v>177</v>
      </c>
      <c r="E2" s="174" t="s">
        <v>238</v>
      </c>
      <c r="F2" s="175" t="s">
        <v>248</v>
      </c>
      <c r="G2" s="176" t="s">
        <v>177</v>
      </c>
      <c r="H2" s="174" t="s">
        <v>238</v>
      </c>
      <c r="I2" s="175" t="s">
        <v>248</v>
      </c>
      <c r="J2" s="176" t="s">
        <v>177</v>
      </c>
      <c r="L2" s="572" t="s">
        <v>178</v>
      </c>
      <c r="M2" s="572" t="s">
        <v>179</v>
      </c>
      <c r="N2" s="572" t="s">
        <v>178</v>
      </c>
      <c r="O2" s="572" t="s">
        <v>179</v>
      </c>
      <c r="P2" s="572" t="s">
        <v>178</v>
      </c>
      <c r="Q2" s="572" t="s">
        <v>179</v>
      </c>
    </row>
    <row r="3" spans="1:17" ht="13.5" customHeight="1" x14ac:dyDescent="0.2">
      <c r="A3" s="177" t="s">
        <v>147</v>
      </c>
      <c r="B3" s="178">
        <v>1025</v>
      </c>
      <c r="C3" s="179">
        <f>L3+M3</f>
        <v>1102</v>
      </c>
      <c r="D3" s="180">
        <f t="shared" ref="D3:D22" si="0">C3/B3</f>
        <v>1.0751219512195123</v>
      </c>
      <c r="E3" s="179">
        <v>2050</v>
      </c>
      <c r="F3" s="179">
        <f>N3+O3</f>
        <v>2189</v>
      </c>
      <c r="G3" s="180">
        <f t="shared" ref="G3:G22" si="1">F3/E3</f>
        <v>1.0678048780487805</v>
      </c>
      <c r="H3" s="181">
        <v>1365300</v>
      </c>
      <c r="I3" s="179">
        <f>P3+Q3</f>
        <v>1449828</v>
      </c>
      <c r="J3" s="180">
        <f t="shared" ref="J3:J22" si="2">I3/H3</f>
        <v>1.0619116677653262</v>
      </c>
      <c r="L3" s="572">
        <v>1059</v>
      </c>
      <c r="M3" s="572">
        <v>43</v>
      </c>
      <c r="N3" s="572">
        <v>2105</v>
      </c>
      <c r="O3" s="572">
        <v>84</v>
      </c>
      <c r="P3" s="572">
        <v>1394052</v>
      </c>
      <c r="Q3" s="572">
        <v>55776</v>
      </c>
    </row>
    <row r="4" spans="1:17" ht="13.5" customHeight="1" x14ac:dyDescent="0.2">
      <c r="A4" s="182" t="s">
        <v>150</v>
      </c>
      <c r="B4" s="183">
        <v>1510</v>
      </c>
      <c r="C4" s="179">
        <f t="shared" ref="C4:C21" si="3">L4+M4</f>
        <v>1687</v>
      </c>
      <c r="D4" s="184">
        <f t="shared" si="0"/>
        <v>1.1172185430463577</v>
      </c>
      <c r="E4" s="185">
        <v>9895</v>
      </c>
      <c r="F4" s="179">
        <f t="shared" ref="F4:F21" si="4">N4+O4</f>
        <v>12119</v>
      </c>
      <c r="G4" s="184">
        <f t="shared" si="1"/>
        <v>1.2247599797877715</v>
      </c>
      <c r="H4" s="186">
        <v>2950000</v>
      </c>
      <c r="I4" s="179">
        <f t="shared" ref="I4:I21" si="5">P4+Q4</f>
        <v>2716647</v>
      </c>
      <c r="J4" s="184">
        <f t="shared" si="2"/>
        <v>0.92089728813559324</v>
      </c>
      <c r="L4" s="572">
        <v>1581</v>
      </c>
      <c r="M4" s="572">
        <v>106</v>
      </c>
      <c r="N4" s="572">
        <v>11315</v>
      </c>
      <c r="O4" s="572">
        <v>804</v>
      </c>
      <c r="P4" s="572">
        <v>2527431</v>
      </c>
      <c r="Q4" s="572">
        <v>189216</v>
      </c>
    </row>
    <row r="5" spans="1:17" ht="13.5" customHeight="1" x14ac:dyDescent="0.2">
      <c r="A5" s="182" t="s">
        <v>140</v>
      </c>
      <c r="B5" s="183">
        <v>2705</v>
      </c>
      <c r="C5" s="179">
        <f t="shared" si="3"/>
        <v>1808</v>
      </c>
      <c r="D5" s="184">
        <f t="shared" si="0"/>
        <v>0.6683918669131238</v>
      </c>
      <c r="E5" s="185">
        <v>7330</v>
      </c>
      <c r="F5" s="179">
        <f t="shared" si="4"/>
        <v>4608</v>
      </c>
      <c r="G5" s="184">
        <f t="shared" si="1"/>
        <v>0.62864938608458387</v>
      </c>
      <c r="H5" s="186">
        <v>2664000</v>
      </c>
      <c r="I5" s="179">
        <f t="shared" si="5"/>
        <v>1835173</v>
      </c>
      <c r="J5" s="184">
        <f t="shared" si="2"/>
        <v>0.68887875375375374</v>
      </c>
      <c r="L5" s="572">
        <v>1707</v>
      </c>
      <c r="M5" s="572">
        <v>101</v>
      </c>
      <c r="N5" s="572">
        <v>4384</v>
      </c>
      <c r="O5" s="572">
        <v>224</v>
      </c>
      <c r="P5" s="572">
        <v>1741731</v>
      </c>
      <c r="Q5" s="572">
        <v>93442</v>
      </c>
    </row>
    <row r="6" spans="1:17" ht="13.5" customHeight="1" x14ac:dyDescent="0.2">
      <c r="A6" s="182" t="s">
        <v>180</v>
      </c>
      <c r="B6" s="183">
        <v>3560</v>
      </c>
      <c r="C6" s="179">
        <f t="shared" si="3"/>
        <v>3304</v>
      </c>
      <c r="D6" s="184">
        <f t="shared" si="0"/>
        <v>0.92808988764044942</v>
      </c>
      <c r="E6" s="185">
        <v>10250</v>
      </c>
      <c r="F6" s="179">
        <f t="shared" si="4"/>
        <v>9175</v>
      </c>
      <c r="G6" s="184">
        <f t="shared" si="1"/>
        <v>0.89512195121951221</v>
      </c>
      <c r="H6" s="186">
        <v>1580000</v>
      </c>
      <c r="I6" s="179">
        <f t="shared" si="5"/>
        <v>1532649</v>
      </c>
      <c r="J6" s="184">
        <f t="shared" si="2"/>
        <v>0.97003101265822789</v>
      </c>
      <c r="L6" s="572">
        <v>3081</v>
      </c>
      <c r="M6" s="572">
        <v>223</v>
      </c>
      <c r="N6" s="572">
        <v>8576</v>
      </c>
      <c r="O6" s="572">
        <v>599</v>
      </c>
      <c r="P6" s="572">
        <v>1430641</v>
      </c>
      <c r="Q6" s="572">
        <v>102008</v>
      </c>
    </row>
    <row r="7" spans="1:17" ht="13.5" customHeight="1" x14ac:dyDescent="0.2">
      <c r="A7" s="182" t="s">
        <v>181</v>
      </c>
      <c r="B7" s="183">
        <v>41800</v>
      </c>
      <c r="C7" s="179">
        <f t="shared" si="3"/>
        <v>37966</v>
      </c>
      <c r="D7" s="184">
        <f t="shared" si="0"/>
        <v>0.90827751196172246</v>
      </c>
      <c r="E7" s="185">
        <v>94000</v>
      </c>
      <c r="F7" s="179">
        <f t="shared" si="4"/>
        <v>85227</v>
      </c>
      <c r="G7" s="184">
        <f t="shared" si="1"/>
        <v>0.9066702127659575</v>
      </c>
      <c r="H7" s="186">
        <v>18400000</v>
      </c>
      <c r="I7" s="179">
        <f t="shared" si="5"/>
        <v>19366276</v>
      </c>
      <c r="J7" s="184">
        <f t="shared" si="2"/>
        <v>1.0525150000000001</v>
      </c>
      <c r="L7" s="572">
        <v>35721</v>
      </c>
      <c r="M7" s="572">
        <v>2245</v>
      </c>
      <c r="N7" s="572">
        <v>80087</v>
      </c>
      <c r="O7" s="572">
        <v>5140</v>
      </c>
      <c r="P7" s="572">
        <v>18199380</v>
      </c>
      <c r="Q7" s="572">
        <v>1166896</v>
      </c>
    </row>
    <row r="8" spans="1:17" ht="13.5" customHeight="1" x14ac:dyDescent="0.2">
      <c r="A8" s="182" t="s">
        <v>182</v>
      </c>
      <c r="B8" s="183">
        <v>10170</v>
      </c>
      <c r="C8" s="179">
        <f t="shared" si="3"/>
        <v>10547</v>
      </c>
      <c r="D8" s="184">
        <f t="shared" si="0"/>
        <v>1.0370698131760079</v>
      </c>
      <c r="E8" s="185">
        <v>30030</v>
      </c>
      <c r="F8" s="179">
        <f t="shared" si="4"/>
        <v>36329</v>
      </c>
      <c r="G8" s="184">
        <f t="shared" si="1"/>
        <v>1.2097569097569099</v>
      </c>
      <c r="H8" s="186">
        <v>9660000</v>
      </c>
      <c r="I8" s="179">
        <f t="shared" si="5"/>
        <v>10015638</v>
      </c>
      <c r="J8" s="184">
        <f t="shared" si="2"/>
        <v>1.0368155279503106</v>
      </c>
      <c r="L8" s="572">
        <v>9829</v>
      </c>
      <c r="M8" s="572">
        <v>718</v>
      </c>
      <c r="N8" s="572">
        <v>33931</v>
      </c>
      <c r="O8" s="572">
        <v>2398</v>
      </c>
      <c r="P8" s="572">
        <v>9339566</v>
      </c>
      <c r="Q8" s="572">
        <v>676072</v>
      </c>
    </row>
    <row r="9" spans="1:17" ht="13.5" customHeight="1" x14ac:dyDescent="0.2">
      <c r="A9" s="182" t="s">
        <v>142</v>
      </c>
      <c r="B9" s="183">
        <v>2760</v>
      </c>
      <c r="C9" s="179">
        <f t="shared" si="3"/>
        <v>3491</v>
      </c>
      <c r="D9" s="184">
        <f t="shared" si="0"/>
        <v>1.2648550724637682</v>
      </c>
      <c r="E9" s="185">
        <v>5520</v>
      </c>
      <c r="F9" s="179">
        <f t="shared" si="4"/>
        <v>7529</v>
      </c>
      <c r="G9" s="184">
        <f t="shared" si="1"/>
        <v>1.3639492753623188</v>
      </c>
      <c r="H9" s="186">
        <v>6360000</v>
      </c>
      <c r="I9" s="179">
        <f t="shared" si="5"/>
        <v>9310433</v>
      </c>
      <c r="J9" s="184">
        <f t="shared" si="2"/>
        <v>1.4639045597484277</v>
      </c>
      <c r="L9" s="572">
        <v>3252</v>
      </c>
      <c r="M9" s="572">
        <v>239</v>
      </c>
      <c r="N9" s="572">
        <v>7064</v>
      </c>
      <c r="O9" s="572">
        <v>465</v>
      </c>
      <c r="P9" s="572">
        <v>8557429</v>
      </c>
      <c r="Q9" s="572">
        <v>753004</v>
      </c>
    </row>
    <row r="10" spans="1:17" ht="13.5" customHeight="1" x14ac:dyDescent="0.2">
      <c r="A10" s="182" t="s">
        <v>162</v>
      </c>
      <c r="B10" s="183">
        <v>22000</v>
      </c>
      <c r="C10" s="179">
        <f t="shared" si="3"/>
        <v>24991</v>
      </c>
      <c r="D10" s="184">
        <f t="shared" si="0"/>
        <v>1.1359545454545454</v>
      </c>
      <c r="E10" s="185">
        <v>157900</v>
      </c>
      <c r="F10" s="179">
        <f t="shared" si="4"/>
        <v>177874</v>
      </c>
      <c r="G10" s="184">
        <f t="shared" si="1"/>
        <v>1.1264977834072198</v>
      </c>
      <c r="H10" s="186">
        <v>20880000</v>
      </c>
      <c r="I10" s="179">
        <f t="shared" si="5"/>
        <v>24936665</v>
      </c>
      <c r="J10" s="184">
        <f t="shared" si="2"/>
        <v>1.1942847222222222</v>
      </c>
      <c r="L10" s="572">
        <v>23376</v>
      </c>
      <c r="M10" s="572">
        <v>1615</v>
      </c>
      <c r="N10" s="572">
        <v>167112</v>
      </c>
      <c r="O10" s="572">
        <v>10762</v>
      </c>
      <c r="P10" s="572">
        <v>23426058</v>
      </c>
      <c r="Q10" s="572">
        <v>1510607</v>
      </c>
    </row>
    <row r="11" spans="1:17" ht="13.5" customHeight="1" x14ac:dyDescent="0.2">
      <c r="A11" s="182" t="s">
        <v>154</v>
      </c>
      <c r="B11" s="183">
        <v>9850</v>
      </c>
      <c r="C11" s="179">
        <f t="shared" si="3"/>
        <v>9227</v>
      </c>
      <c r="D11" s="184">
        <f t="shared" si="0"/>
        <v>0.93675126903553296</v>
      </c>
      <c r="E11" s="185">
        <v>40200</v>
      </c>
      <c r="F11" s="179">
        <f t="shared" si="4"/>
        <v>43389</v>
      </c>
      <c r="G11" s="184">
        <f t="shared" si="1"/>
        <v>1.0793283582089552</v>
      </c>
      <c r="H11" s="186">
        <v>13500000</v>
      </c>
      <c r="I11" s="179">
        <f t="shared" si="5"/>
        <v>10359559</v>
      </c>
      <c r="J11" s="184">
        <f t="shared" si="2"/>
        <v>0.76737474074074075</v>
      </c>
      <c r="L11" s="572">
        <v>8623</v>
      </c>
      <c r="M11" s="572">
        <f>518+86</f>
        <v>604</v>
      </c>
      <c r="N11" s="572">
        <v>40357</v>
      </c>
      <c r="O11" s="572">
        <f>2862+170</f>
        <v>3032</v>
      </c>
      <c r="P11" s="572">
        <v>9682917</v>
      </c>
      <c r="Q11" s="572">
        <f>579890+96752</f>
        <v>676642</v>
      </c>
    </row>
    <row r="12" spans="1:17" ht="13.5" customHeight="1" x14ac:dyDescent="0.2">
      <c r="A12" s="182" t="s">
        <v>143</v>
      </c>
      <c r="B12" s="183">
        <v>12100</v>
      </c>
      <c r="C12" s="179">
        <f t="shared" si="3"/>
        <v>12384</v>
      </c>
      <c r="D12" s="184">
        <f t="shared" si="0"/>
        <v>1.0234710743801654</v>
      </c>
      <c r="E12" s="185">
        <v>28500</v>
      </c>
      <c r="F12" s="179">
        <f t="shared" si="4"/>
        <v>32491</v>
      </c>
      <c r="G12" s="184">
        <f t="shared" si="1"/>
        <v>1.1400350877192982</v>
      </c>
      <c r="H12" s="186">
        <v>23500000</v>
      </c>
      <c r="I12" s="179">
        <f t="shared" si="5"/>
        <v>26376464</v>
      </c>
      <c r="J12" s="184">
        <f t="shared" si="2"/>
        <v>1.1224027234042553</v>
      </c>
      <c r="L12" s="572">
        <v>11531</v>
      </c>
      <c r="M12" s="572">
        <v>853</v>
      </c>
      <c r="N12" s="572">
        <v>30169</v>
      </c>
      <c r="O12" s="572">
        <v>2322</v>
      </c>
      <c r="P12" s="572">
        <v>24438000</v>
      </c>
      <c r="Q12" s="572">
        <v>1938464</v>
      </c>
    </row>
    <row r="13" spans="1:17" ht="13.5" customHeight="1" x14ac:dyDescent="0.2">
      <c r="A13" s="182" t="s">
        <v>160</v>
      </c>
      <c r="B13" s="183">
        <v>4080</v>
      </c>
      <c r="C13" s="179">
        <f t="shared" si="3"/>
        <v>4332</v>
      </c>
      <c r="D13" s="184">
        <f t="shared" si="0"/>
        <v>1.0617647058823529</v>
      </c>
      <c r="E13" s="185">
        <v>8040</v>
      </c>
      <c r="F13" s="179">
        <f t="shared" si="4"/>
        <v>6526</v>
      </c>
      <c r="G13" s="184">
        <f t="shared" si="1"/>
        <v>0.81169154228855722</v>
      </c>
      <c r="H13" s="186">
        <v>14790000</v>
      </c>
      <c r="I13" s="179">
        <f t="shared" si="5"/>
        <v>9120668</v>
      </c>
      <c r="J13" s="184">
        <f t="shared" si="2"/>
        <v>0.61667802569303587</v>
      </c>
      <c r="L13" s="572">
        <v>4054</v>
      </c>
      <c r="M13" s="572">
        <v>278</v>
      </c>
      <c r="N13" s="572">
        <v>6103</v>
      </c>
      <c r="O13" s="572">
        <v>423</v>
      </c>
      <c r="P13" s="572">
        <v>8517810</v>
      </c>
      <c r="Q13" s="572">
        <v>602858</v>
      </c>
    </row>
    <row r="14" spans="1:17" ht="13.5" customHeight="1" x14ac:dyDescent="0.2">
      <c r="A14" s="182" t="s">
        <v>183</v>
      </c>
      <c r="B14" s="183">
        <v>12300</v>
      </c>
      <c r="C14" s="179">
        <f t="shared" si="3"/>
        <v>12274</v>
      </c>
      <c r="D14" s="184">
        <f t="shared" si="0"/>
        <v>0.99788617886178865</v>
      </c>
      <c r="E14" s="185">
        <v>37600</v>
      </c>
      <c r="F14" s="179">
        <f t="shared" si="4"/>
        <v>45085</v>
      </c>
      <c r="G14" s="184">
        <f t="shared" si="1"/>
        <v>1.1990691489361702</v>
      </c>
      <c r="H14" s="186">
        <v>15200000</v>
      </c>
      <c r="I14" s="179">
        <f t="shared" si="5"/>
        <v>15252392</v>
      </c>
      <c r="J14" s="184">
        <f t="shared" si="2"/>
        <v>1.0034468421052631</v>
      </c>
      <c r="L14" s="572">
        <v>11380</v>
      </c>
      <c r="M14" s="572">
        <v>894</v>
      </c>
      <c r="N14" s="572">
        <v>41782</v>
      </c>
      <c r="O14" s="572">
        <v>3303</v>
      </c>
      <c r="P14" s="572">
        <v>14146759</v>
      </c>
      <c r="Q14" s="572">
        <v>1105633</v>
      </c>
    </row>
    <row r="15" spans="1:17" ht="13.5" customHeight="1" x14ac:dyDescent="0.2">
      <c r="A15" s="182" t="s">
        <v>156</v>
      </c>
      <c r="B15" s="183">
        <v>7150</v>
      </c>
      <c r="C15" s="179">
        <f t="shared" si="3"/>
        <v>7912</v>
      </c>
      <c r="D15" s="184">
        <f t="shared" si="0"/>
        <v>1.1065734265734266</v>
      </c>
      <c r="E15" s="185">
        <v>29900</v>
      </c>
      <c r="F15" s="179">
        <f t="shared" si="4"/>
        <v>29440</v>
      </c>
      <c r="G15" s="184">
        <f t="shared" si="1"/>
        <v>0.98461538461538467</v>
      </c>
      <c r="H15" s="186">
        <v>12500000</v>
      </c>
      <c r="I15" s="179">
        <f t="shared" si="5"/>
        <v>10561652</v>
      </c>
      <c r="J15" s="184">
        <f t="shared" si="2"/>
        <v>0.84493216000000004</v>
      </c>
      <c r="L15" s="572">
        <v>7410</v>
      </c>
      <c r="M15" s="572">
        <v>502</v>
      </c>
      <c r="N15" s="572">
        <v>27517</v>
      </c>
      <c r="O15" s="572">
        <v>1923</v>
      </c>
      <c r="P15" s="572">
        <v>9849362</v>
      </c>
      <c r="Q15" s="572">
        <v>712290</v>
      </c>
    </row>
    <row r="16" spans="1:17" ht="13.5" customHeight="1" x14ac:dyDescent="0.2">
      <c r="A16" s="187" t="s">
        <v>184</v>
      </c>
      <c r="B16" s="188">
        <v>16900</v>
      </c>
      <c r="C16" s="179">
        <f t="shared" si="3"/>
        <v>14268</v>
      </c>
      <c r="D16" s="184">
        <f t="shared" si="0"/>
        <v>0.84426035502958585</v>
      </c>
      <c r="E16" s="189">
        <v>165000</v>
      </c>
      <c r="F16" s="179">
        <f t="shared" si="4"/>
        <v>151932</v>
      </c>
      <c r="G16" s="184">
        <f t="shared" si="1"/>
        <v>0.92079999999999995</v>
      </c>
      <c r="H16" s="190">
        <v>25350000</v>
      </c>
      <c r="I16" s="179">
        <f t="shared" si="5"/>
        <v>21734595</v>
      </c>
      <c r="J16" s="184">
        <f t="shared" si="2"/>
        <v>0.85738047337278112</v>
      </c>
      <c r="L16" s="572">
        <v>13387</v>
      </c>
      <c r="M16" s="572">
        <v>881</v>
      </c>
      <c r="N16" s="572">
        <v>142515</v>
      </c>
      <c r="O16" s="572">
        <v>9417</v>
      </c>
      <c r="P16" s="572">
        <v>20389686</v>
      </c>
      <c r="Q16" s="572">
        <v>1344909</v>
      </c>
    </row>
    <row r="17" spans="1:17" ht="13.5" customHeight="1" x14ac:dyDescent="0.2">
      <c r="A17" s="187" t="s">
        <v>185</v>
      </c>
      <c r="B17" s="188">
        <v>26700</v>
      </c>
      <c r="C17" s="179">
        <f t="shared" si="3"/>
        <v>35298</v>
      </c>
      <c r="D17" s="184">
        <f t="shared" si="0"/>
        <v>1.3220224719101124</v>
      </c>
      <c r="E17" s="189">
        <v>81200</v>
      </c>
      <c r="F17" s="179">
        <f t="shared" si="4"/>
        <v>86843</v>
      </c>
      <c r="G17" s="184">
        <f t="shared" si="1"/>
        <v>1.0694950738916256</v>
      </c>
      <c r="H17" s="190">
        <v>57900000</v>
      </c>
      <c r="I17" s="179">
        <f t="shared" si="5"/>
        <v>58856843</v>
      </c>
      <c r="J17" s="184">
        <f t="shared" si="2"/>
        <v>1.0165257858376511</v>
      </c>
      <c r="L17" s="572">
        <v>32928</v>
      </c>
      <c r="M17" s="572">
        <v>2370</v>
      </c>
      <c r="N17" s="572">
        <v>81102</v>
      </c>
      <c r="O17" s="572">
        <v>5741</v>
      </c>
      <c r="P17" s="572">
        <v>54654368</v>
      </c>
      <c r="Q17" s="572">
        <v>4202475</v>
      </c>
    </row>
    <row r="18" spans="1:17" ht="13.5" customHeight="1" x14ac:dyDescent="0.2">
      <c r="A18" s="187" t="s">
        <v>144</v>
      </c>
      <c r="B18" s="188">
        <v>27000</v>
      </c>
      <c r="C18" s="179">
        <f t="shared" si="3"/>
        <v>24744</v>
      </c>
      <c r="D18" s="184">
        <f t="shared" si="0"/>
        <v>0.91644444444444439</v>
      </c>
      <c r="E18" s="189">
        <v>135000</v>
      </c>
      <c r="F18" s="179">
        <f t="shared" si="4"/>
        <v>112578</v>
      </c>
      <c r="G18" s="184">
        <f t="shared" si="1"/>
        <v>0.83391111111111116</v>
      </c>
      <c r="H18" s="190">
        <v>44500000</v>
      </c>
      <c r="I18" s="179">
        <f t="shared" si="5"/>
        <v>37204190</v>
      </c>
      <c r="J18" s="184">
        <f t="shared" si="2"/>
        <v>0.83604921348314609</v>
      </c>
      <c r="L18" s="572">
        <v>22989</v>
      </c>
      <c r="M18" s="572">
        <f>131+1624</f>
        <v>1755</v>
      </c>
      <c r="N18" s="572">
        <v>105000</v>
      </c>
      <c r="O18" s="572">
        <f>635+6943</f>
        <v>7578</v>
      </c>
      <c r="P18" s="572">
        <v>34669088</v>
      </c>
      <c r="Q18" s="572">
        <f>194642+2340460</f>
        <v>2535102</v>
      </c>
    </row>
    <row r="19" spans="1:17" ht="13.5" customHeight="1" x14ac:dyDescent="0.2">
      <c r="A19" s="187" t="s">
        <v>145</v>
      </c>
      <c r="B19" s="188">
        <v>13680</v>
      </c>
      <c r="C19" s="179">
        <f t="shared" si="3"/>
        <v>13008</v>
      </c>
      <c r="D19" s="184">
        <f t="shared" si="0"/>
        <v>0.9508771929824561</v>
      </c>
      <c r="E19" s="189">
        <v>60480</v>
      </c>
      <c r="F19" s="179">
        <f t="shared" si="4"/>
        <v>52273</v>
      </c>
      <c r="G19" s="184">
        <f t="shared" si="1"/>
        <v>0.8643022486772487</v>
      </c>
      <c r="H19" s="190">
        <v>20016000</v>
      </c>
      <c r="I19" s="179">
        <f t="shared" si="5"/>
        <v>17844392</v>
      </c>
      <c r="J19" s="184">
        <f t="shared" si="2"/>
        <v>0.89150639488409278</v>
      </c>
      <c r="L19" s="572">
        <v>12148</v>
      </c>
      <c r="M19" s="572">
        <v>860</v>
      </c>
      <c r="N19" s="572">
        <v>49422</v>
      </c>
      <c r="O19" s="572">
        <v>2851</v>
      </c>
      <c r="P19" s="572">
        <v>16763324</v>
      </c>
      <c r="Q19" s="572">
        <v>1081068</v>
      </c>
    </row>
    <row r="20" spans="1:17" ht="13.5" customHeight="1" x14ac:dyDescent="0.2">
      <c r="A20" s="187" t="s">
        <v>151</v>
      </c>
      <c r="B20" s="188">
        <v>13250</v>
      </c>
      <c r="C20" s="179">
        <f t="shared" si="3"/>
        <v>12781</v>
      </c>
      <c r="D20" s="184">
        <f t="shared" si="0"/>
        <v>0.96460377358490568</v>
      </c>
      <c r="E20" s="189">
        <v>123225</v>
      </c>
      <c r="F20" s="179">
        <f t="shared" si="4"/>
        <v>116485</v>
      </c>
      <c r="G20" s="184">
        <f t="shared" si="1"/>
        <v>0.94530330695881515</v>
      </c>
      <c r="H20" s="190">
        <v>22923000</v>
      </c>
      <c r="I20" s="179">
        <f t="shared" si="5"/>
        <v>20513179</v>
      </c>
      <c r="J20" s="184">
        <f t="shared" si="2"/>
        <v>0.89487322776250922</v>
      </c>
      <c r="L20" s="572">
        <v>11901</v>
      </c>
      <c r="M20" s="572">
        <v>880</v>
      </c>
      <c r="N20" s="572">
        <v>108339</v>
      </c>
      <c r="O20" s="572">
        <v>8146</v>
      </c>
      <c r="P20" s="572">
        <v>19040477</v>
      </c>
      <c r="Q20" s="572">
        <v>1472702</v>
      </c>
    </row>
    <row r="21" spans="1:17" ht="13.5" customHeight="1" x14ac:dyDescent="0.2">
      <c r="A21" s="187" t="s">
        <v>157</v>
      </c>
      <c r="B21" s="188">
        <v>10800</v>
      </c>
      <c r="C21" s="179">
        <f t="shared" si="3"/>
        <v>10499</v>
      </c>
      <c r="D21" s="184">
        <f t="shared" si="0"/>
        <v>0.97212962962962968</v>
      </c>
      <c r="E21" s="189">
        <v>48200</v>
      </c>
      <c r="F21" s="179">
        <f t="shared" si="4"/>
        <v>49383</v>
      </c>
      <c r="G21" s="184">
        <f t="shared" si="1"/>
        <v>1.0245435684647304</v>
      </c>
      <c r="H21" s="190">
        <v>16700000</v>
      </c>
      <c r="I21" s="179">
        <f t="shared" si="5"/>
        <v>15739006</v>
      </c>
      <c r="J21" s="184">
        <f t="shared" si="2"/>
        <v>0.94245544910179646</v>
      </c>
      <c r="L21" s="572">
        <v>9685</v>
      </c>
      <c r="M21" s="572">
        <v>814</v>
      </c>
      <c r="N21" s="572">
        <v>45577</v>
      </c>
      <c r="O21" s="572">
        <v>3806</v>
      </c>
      <c r="P21" s="572">
        <v>14490500</v>
      </c>
      <c r="Q21" s="572">
        <v>1248506</v>
      </c>
    </row>
    <row r="22" spans="1:17" ht="13.5" customHeight="1" thickBot="1" x14ac:dyDescent="0.25">
      <c r="A22" s="191" t="s">
        <v>186</v>
      </c>
      <c r="B22" s="192">
        <f>SUM(B3:B21)</f>
        <v>239340</v>
      </c>
      <c r="C22" s="193">
        <f>SUM(C3:C21)</f>
        <v>241623</v>
      </c>
      <c r="D22" s="194">
        <f t="shared" si="0"/>
        <v>1.0095387315116571</v>
      </c>
      <c r="E22" s="192">
        <f>SUM(E3:E21)</f>
        <v>1074320</v>
      </c>
      <c r="F22" s="193">
        <f>SUM(F3:F21)</f>
        <v>1061475</v>
      </c>
      <c r="G22" s="194">
        <f t="shared" si="1"/>
        <v>0.98804359967235089</v>
      </c>
      <c r="H22" s="192">
        <f>SUM(H3:H21)</f>
        <v>330738300</v>
      </c>
      <c r="I22" s="193">
        <f>SUM(I3:I21)</f>
        <v>314726249</v>
      </c>
      <c r="J22" s="194">
        <f t="shared" si="2"/>
        <v>0.95158694653748899</v>
      </c>
      <c r="L22" s="572">
        <f t="shared" ref="L22:Q22" si="6">SUM(L3:L21)</f>
        <v>225642</v>
      </c>
      <c r="M22" s="572">
        <f t="shared" si="6"/>
        <v>15981</v>
      </c>
      <c r="N22" s="572">
        <f t="shared" si="6"/>
        <v>992457</v>
      </c>
      <c r="O22" s="572">
        <f t="shared" si="6"/>
        <v>69018</v>
      </c>
      <c r="P22" s="572">
        <f t="shared" si="6"/>
        <v>293258579</v>
      </c>
      <c r="Q22" s="572">
        <f t="shared" si="6"/>
        <v>21467670</v>
      </c>
    </row>
    <row r="23" spans="1:17" ht="12" customHeight="1" thickBot="1" x14ac:dyDescent="0.25">
      <c r="H23" s="195"/>
      <c r="I23" s="195"/>
    </row>
    <row r="24" spans="1:17" ht="13.5" customHeight="1" x14ac:dyDescent="0.2">
      <c r="A24" s="196" t="s">
        <v>153</v>
      </c>
      <c r="B24" s="197">
        <v>1465</v>
      </c>
      <c r="C24" s="198">
        <f>L24+M24</f>
        <v>1563</v>
      </c>
      <c r="D24" s="199">
        <f t="shared" ref="D24:D34" si="7">C24/B24</f>
        <v>1.0668941979522184</v>
      </c>
      <c r="E24" s="198">
        <v>17350</v>
      </c>
      <c r="F24" s="198">
        <f>N24+O24</f>
        <v>19589</v>
      </c>
      <c r="G24" s="200">
        <f t="shared" ref="G24:G34" si="8">F24/E24</f>
        <v>1.1290489913544668</v>
      </c>
      <c r="H24" s="201">
        <v>6380000</v>
      </c>
      <c r="I24" s="198">
        <f>P24+Q24</f>
        <v>6479354</v>
      </c>
      <c r="J24" s="199">
        <f t="shared" ref="J24:J34" si="9">I24/H24</f>
        <v>1.0155727272727273</v>
      </c>
      <c r="L24" s="572">
        <v>1487</v>
      </c>
      <c r="M24" s="572">
        <v>76</v>
      </c>
      <c r="N24" s="572">
        <v>18564</v>
      </c>
      <c r="O24" s="572">
        <v>1025</v>
      </c>
      <c r="P24" s="572">
        <v>6145744</v>
      </c>
      <c r="Q24" s="572">
        <v>333610</v>
      </c>
    </row>
    <row r="25" spans="1:17" ht="13.5" customHeight="1" x14ac:dyDescent="0.2">
      <c r="A25" s="182" t="s">
        <v>152</v>
      </c>
      <c r="B25" s="183">
        <v>14800</v>
      </c>
      <c r="C25" s="179">
        <f t="shared" ref="C25:C33" si="10">L25+M25</f>
        <v>13927</v>
      </c>
      <c r="D25" s="184">
        <f t="shared" si="7"/>
        <v>0.94101351351351348</v>
      </c>
      <c r="E25" s="185">
        <v>51490</v>
      </c>
      <c r="F25" s="179">
        <f t="shared" ref="F25:F33" si="11">N25+O25</f>
        <v>67608</v>
      </c>
      <c r="G25" s="184">
        <f t="shared" si="8"/>
        <v>1.3130316566323559</v>
      </c>
      <c r="H25" s="186">
        <v>19900000</v>
      </c>
      <c r="I25" s="179">
        <f t="shared" ref="I25:I33" si="12">P25+Q25</f>
        <v>16027394</v>
      </c>
      <c r="J25" s="184">
        <f t="shared" si="9"/>
        <v>0.80539668341708548</v>
      </c>
      <c r="L25" s="572">
        <v>13197</v>
      </c>
      <c r="M25" s="572">
        <v>730</v>
      </c>
      <c r="N25" s="572">
        <v>64004</v>
      </c>
      <c r="O25" s="572">
        <v>3604</v>
      </c>
      <c r="P25" s="572">
        <v>15192687</v>
      </c>
      <c r="Q25" s="572">
        <v>834707</v>
      </c>
    </row>
    <row r="26" spans="1:17" ht="13.5" customHeight="1" x14ac:dyDescent="0.2">
      <c r="A26" s="182" t="s">
        <v>181</v>
      </c>
      <c r="B26" s="183">
        <v>23600</v>
      </c>
      <c r="C26" s="179">
        <f t="shared" si="10"/>
        <v>29096</v>
      </c>
      <c r="D26" s="184">
        <f t="shared" si="7"/>
        <v>1.2328813559322034</v>
      </c>
      <c r="E26" s="185">
        <v>79600</v>
      </c>
      <c r="F26" s="179">
        <f t="shared" si="11"/>
        <v>71549</v>
      </c>
      <c r="G26" s="202">
        <f t="shared" si="8"/>
        <v>0.898856783919598</v>
      </c>
      <c r="H26" s="203">
        <v>21100000</v>
      </c>
      <c r="I26" s="179">
        <f t="shared" si="12"/>
        <v>16138028</v>
      </c>
      <c r="J26" s="184">
        <f t="shared" si="9"/>
        <v>0.76483545023696686</v>
      </c>
      <c r="L26" s="572">
        <v>27466</v>
      </c>
      <c r="M26" s="572">
        <v>1630</v>
      </c>
      <c r="N26" s="572">
        <v>67476</v>
      </c>
      <c r="O26" s="572">
        <v>4073</v>
      </c>
      <c r="P26" s="572">
        <v>15238353</v>
      </c>
      <c r="Q26" s="572">
        <v>899675</v>
      </c>
    </row>
    <row r="27" spans="1:17" ht="13.5" customHeight="1" x14ac:dyDescent="0.2">
      <c r="A27" s="182" t="s">
        <v>182</v>
      </c>
      <c r="B27" s="183">
        <v>10170</v>
      </c>
      <c r="C27" s="179">
        <f t="shared" si="10"/>
        <v>11321</v>
      </c>
      <c r="D27" s="184">
        <f t="shared" si="7"/>
        <v>1.1131760078662734</v>
      </c>
      <c r="E27" s="185">
        <v>30030</v>
      </c>
      <c r="F27" s="179">
        <f t="shared" si="11"/>
        <v>37598</v>
      </c>
      <c r="G27" s="202">
        <f t="shared" si="8"/>
        <v>1.252014652014652</v>
      </c>
      <c r="H27" s="203">
        <v>9660000</v>
      </c>
      <c r="I27" s="179">
        <f t="shared" si="12"/>
        <v>10873192</v>
      </c>
      <c r="J27" s="184">
        <f t="shared" si="9"/>
        <v>1.1255892339544513</v>
      </c>
      <c r="L27" s="572">
        <v>10506</v>
      </c>
      <c r="M27" s="572">
        <v>815</v>
      </c>
      <c r="N27" s="572">
        <v>34820</v>
      </c>
      <c r="O27" s="572">
        <v>2778</v>
      </c>
      <c r="P27" s="572">
        <v>10043498</v>
      </c>
      <c r="Q27" s="572">
        <v>829694</v>
      </c>
    </row>
    <row r="28" spans="1:17" ht="13.5" customHeight="1" x14ac:dyDescent="0.2">
      <c r="A28" s="182" t="s">
        <v>162</v>
      </c>
      <c r="B28" s="183">
        <v>20800</v>
      </c>
      <c r="C28" s="179">
        <f t="shared" si="10"/>
        <v>17610</v>
      </c>
      <c r="D28" s="184">
        <f t="shared" si="7"/>
        <v>0.84663461538461537</v>
      </c>
      <c r="E28" s="185">
        <v>135000</v>
      </c>
      <c r="F28" s="179">
        <f t="shared" si="11"/>
        <v>118650</v>
      </c>
      <c r="G28" s="202">
        <f t="shared" si="8"/>
        <v>0.87888888888888894</v>
      </c>
      <c r="H28" s="203">
        <v>19200000</v>
      </c>
      <c r="I28" s="179">
        <f t="shared" si="12"/>
        <v>15783482</v>
      </c>
      <c r="J28" s="184">
        <f t="shared" si="9"/>
        <v>0.82205635416666667</v>
      </c>
      <c r="L28" s="572">
        <v>16359</v>
      </c>
      <c r="M28" s="572">
        <v>1251</v>
      </c>
      <c r="N28" s="572">
        <v>109299</v>
      </c>
      <c r="O28" s="572">
        <v>9351</v>
      </c>
      <c r="P28" s="572">
        <v>14434979</v>
      </c>
      <c r="Q28" s="572">
        <v>1348503</v>
      </c>
    </row>
    <row r="29" spans="1:17" ht="13.5" customHeight="1" x14ac:dyDescent="0.2">
      <c r="A29" s="182" t="s">
        <v>154</v>
      </c>
      <c r="B29" s="183">
        <v>9100</v>
      </c>
      <c r="C29" s="179">
        <f t="shared" si="10"/>
        <v>9353</v>
      </c>
      <c r="D29" s="184">
        <f t="shared" si="7"/>
        <v>1.0278021978021978</v>
      </c>
      <c r="E29" s="185">
        <v>45500</v>
      </c>
      <c r="F29" s="179">
        <f t="shared" si="11"/>
        <v>58299</v>
      </c>
      <c r="G29" s="202">
        <f t="shared" si="8"/>
        <v>1.2812967032967033</v>
      </c>
      <c r="H29" s="203">
        <v>12700000</v>
      </c>
      <c r="I29" s="179">
        <f t="shared" si="12"/>
        <v>16212888</v>
      </c>
      <c r="J29" s="184">
        <f t="shared" si="9"/>
        <v>1.2766053543307088</v>
      </c>
      <c r="L29" s="572">
        <v>8729</v>
      </c>
      <c r="M29" s="572">
        <f>471+153</f>
        <v>624</v>
      </c>
      <c r="N29" s="572">
        <v>54487</v>
      </c>
      <c r="O29" s="572">
        <f>3301+511</f>
        <v>3812</v>
      </c>
      <c r="P29" s="572">
        <v>15130772</v>
      </c>
      <c r="Q29" s="572">
        <f>842395+239721</f>
        <v>1082116</v>
      </c>
    </row>
    <row r="30" spans="1:17" ht="13.5" customHeight="1" x14ac:dyDescent="0.2">
      <c r="A30" s="182" t="s">
        <v>183</v>
      </c>
      <c r="B30" s="183">
        <v>11550</v>
      </c>
      <c r="C30" s="179">
        <f t="shared" si="10"/>
        <v>9684</v>
      </c>
      <c r="D30" s="184">
        <f t="shared" si="7"/>
        <v>0.83844155844155843</v>
      </c>
      <c r="E30" s="185">
        <v>41000</v>
      </c>
      <c r="F30" s="179">
        <f t="shared" si="11"/>
        <v>37847</v>
      </c>
      <c r="G30" s="202">
        <f t="shared" si="8"/>
        <v>0.9230975609756098</v>
      </c>
      <c r="H30" s="203">
        <v>15150000</v>
      </c>
      <c r="I30" s="179">
        <f t="shared" si="12"/>
        <v>12466638</v>
      </c>
      <c r="J30" s="184">
        <f t="shared" si="9"/>
        <v>0.82288039603960395</v>
      </c>
      <c r="L30" s="572">
        <v>8942</v>
      </c>
      <c r="M30" s="572">
        <v>742</v>
      </c>
      <c r="N30" s="572">
        <v>34987</v>
      </c>
      <c r="O30" s="572">
        <v>2860</v>
      </c>
      <c r="P30" s="572">
        <v>11560304</v>
      </c>
      <c r="Q30" s="572">
        <v>906334</v>
      </c>
    </row>
    <row r="31" spans="1:17" ht="13.5" customHeight="1" x14ac:dyDescent="0.2">
      <c r="A31" s="182" t="s">
        <v>184</v>
      </c>
      <c r="B31" s="183">
        <v>18450</v>
      </c>
      <c r="C31" s="179">
        <f t="shared" si="10"/>
        <v>16767</v>
      </c>
      <c r="D31" s="184">
        <f t="shared" si="7"/>
        <v>0.90878048780487808</v>
      </c>
      <c r="E31" s="185">
        <v>156700</v>
      </c>
      <c r="F31" s="179">
        <f t="shared" si="11"/>
        <v>140723</v>
      </c>
      <c r="G31" s="202">
        <f t="shared" si="8"/>
        <v>0.89804084237396298</v>
      </c>
      <c r="H31" s="203">
        <v>28450000</v>
      </c>
      <c r="I31" s="179">
        <f t="shared" si="12"/>
        <v>25626854</v>
      </c>
      <c r="J31" s="184">
        <f t="shared" si="9"/>
        <v>0.90076815465729354</v>
      </c>
      <c r="L31" s="572">
        <v>15558</v>
      </c>
      <c r="M31" s="572">
        <v>1209</v>
      </c>
      <c r="N31" s="572">
        <v>129995</v>
      </c>
      <c r="O31" s="572">
        <v>10728</v>
      </c>
      <c r="P31" s="572">
        <v>23652903</v>
      </c>
      <c r="Q31" s="572">
        <v>1973951</v>
      </c>
    </row>
    <row r="32" spans="1:17" ht="13.5" customHeight="1" x14ac:dyDescent="0.2">
      <c r="A32" s="182" t="s">
        <v>151</v>
      </c>
      <c r="B32" s="183">
        <v>12550</v>
      </c>
      <c r="C32" s="179">
        <f t="shared" si="10"/>
        <v>12262</v>
      </c>
      <c r="D32" s="184">
        <f t="shared" si="7"/>
        <v>0.97705179282868526</v>
      </c>
      <c r="E32" s="185">
        <v>125500</v>
      </c>
      <c r="F32" s="179">
        <f t="shared" si="11"/>
        <v>128182</v>
      </c>
      <c r="G32" s="202">
        <f t="shared" si="8"/>
        <v>1.0213705179282868</v>
      </c>
      <c r="H32" s="203">
        <v>22214000</v>
      </c>
      <c r="I32" s="179">
        <f t="shared" si="12"/>
        <v>20339852</v>
      </c>
      <c r="J32" s="184">
        <f t="shared" si="9"/>
        <v>0.91563212388583781</v>
      </c>
      <c r="L32" s="572">
        <v>11406</v>
      </c>
      <c r="M32" s="572">
        <v>856</v>
      </c>
      <c r="N32" s="572">
        <v>119156</v>
      </c>
      <c r="O32" s="572">
        <v>9026</v>
      </c>
      <c r="P32" s="572">
        <v>18914210</v>
      </c>
      <c r="Q32" s="572">
        <v>1425642</v>
      </c>
    </row>
    <row r="33" spans="1:17" ht="13.5" customHeight="1" x14ac:dyDescent="0.2">
      <c r="A33" s="182" t="s">
        <v>157</v>
      </c>
      <c r="B33" s="183">
        <v>12100</v>
      </c>
      <c r="C33" s="179">
        <f t="shared" si="10"/>
        <v>13309</v>
      </c>
      <c r="D33" s="184">
        <f t="shared" si="7"/>
        <v>1.0999173553719008</v>
      </c>
      <c r="E33" s="185">
        <v>42700</v>
      </c>
      <c r="F33" s="179">
        <f t="shared" si="11"/>
        <v>40218</v>
      </c>
      <c r="G33" s="202">
        <f t="shared" si="8"/>
        <v>0.94187353629976578</v>
      </c>
      <c r="H33" s="203">
        <v>16000000</v>
      </c>
      <c r="I33" s="179">
        <f t="shared" si="12"/>
        <v>14066413</v>
      </c>
      <c r="J33" s="184">
        <f t="shared" si="9"/>
        <v>0.87915081250000005</v>
      </c>
      <c r="L33" s="572">
        <v>12297</v>
      </c>
      <c r="M33" s="572">
        <v>1012</v>
      </c>
      <c r="N33" s="572">
        <v>36995</v>
      </c>
      <c r="O33" s="572">
        <v>3223</v>
      </c>
      <c r="P33" s="572">
        <v>13002261</v>
      </c>
      <c r="Q33" s="572">
        <v>1064152</v>
      </c>
    </row>
    <row r="34" spans="1:17" ht="13.5" customHeight="1" thickBot="1" x14ac:dyDescent="0.25">
      <c r="A34" s="191" t="s">
        <v>187</v>
      </c>
      <c r="B34" s="192">
        <f>SUM(B24:B33)</f>
        <v>134585</v>
      </c>
      <c r="C34" s="204">
        <f>SUM(C24:C33)</f>
        <v>134892</v>
      </c>
      <c r="D34" s="194">
        <f t="shared" si="7"/>
        <v>1.0022810863023368</v>
      </c>
      <c r="E34" s="193">
        <f>SUM(E24:E33)</f>
        <v>724870</v>
      </c>
      <c r="F34" s="204">
        <f>SUM(F24:F33)</f>
        <v>720263</v>
      </c>
      <c r="G34" s="205">
        <f t="shared" si="8"/>
        <v>0.99364437761253743</v>
      </c>
      <c r="H34" s="192">
        <f>SUM(H24:H33)</f>
        <v>170754000</v>
      </c>
      <c r="I34" s="204">
        <f>SUM(I24:I33)</f>
        <v>154014095</v>
      </c>
      <c r="J34" s="194">
        <f t="shared" si="9"/>
        <v>0.90196478559799476</v>
      </c>
      <c r="L34" s="572">
        <f t="shared" ref="L34:Q34" si="13">SUM(L24:L33)</f>
        <v>125947</v>
      </c>
      <c r="M34" s="572">
        <f t="shared" si="13"/>
        <v>8945</v>
      </c>
      <c r="N34" s="572">
        <f t="shared" si="13"/>
        <v>669783</v>
      </c>
      <c r="O34" s="572">
        <f t="shared" si="13"/>
        <v>50480</v>
      </c>
      <c r="P34" s="572">
        <f t="shared" si="13"/>
        <v>143315711</v>
      </c>
      <c r="Q34" s="572">
        <f t="shared" si="13"/>
        <v>10698384</v>
      </c>
    </row>
    <row r="35" spans="1:17" ht="12" customHeight="1" thickBot="1" x14ac:dyDescent="0.25">
      <c r="H35" s="195"/>
      <c r="I35" s="195"/>
    </row>
    <row r="36" spans="1:17" ht="13.5" customHeight="1" thickBot="1" x14ac:dyDescent="0.25">
      <c r="A36" s="206" t="s">
        <v>188</v>
      </c>
      <c r="B36" s="207">
        <f>SUM(B22,B34)</f>
        <v>373925</v>
      </c>
      <c r="C36" s="208">
        <f>SUM(C34,C22)</f>
        <v>376515</v>
      </c>
      <c r="D36" s="209">
        <f>C36/B36</f>
        <v>1.0069265226984021</v>
      </c>
      <c r="E36" s="210">
        <f>SUM(E22,E34)</f>
        <v>1799190</v>
      </c>
      <c r="F36" s="208">
        <f>SUM(F34,F22)</f>
        <v>1781738</v>
      </c>
      <c r="G36" s="211">
        <f>F36/E36</f>
        <v>0.99030007948021059</v>
      </c>
      <c r="H36" s="207">
        <f>SUM(H22,H34)</f>
        <v>501492300</v>
      </c>
      <c r="I36" s="208">
        <f>SUM(I34,I22)</f>
        <v>468740344</v>
      </c>
      <c r="J36" s="209">
        <f>I36/H36</f>
        <v>0.93469100921390025</v>
      </c>
      <c r="L36" s="572">
        <f t="shared" ref="L36:Q36" si="14">SUM(L34,L22)</f>
        <v>351589</v>
      </c>
      <c r="M36" s="572">
        <f t="shared" si="14"/>
        <v>24926</v>
      </c>
      <c r="N36" s="572">
        <f t="shared" si="14"/>
        <v>1662240</v>
      </c>
      <c r="O36" s="572">
        <f t="shared" si="14"/>
        <v>119498</v>
      </c>
      <c r="P36" s="572">
        <f t="shared" si="14"/>
        <v>436574290</v>
      </c>
      <c r="Q36" s="572">
        <f t="shared" si="14"/>
        <v>32166054</v>
      </c>
    </row>
    <row r="37" spans="1:17" ht="12" customHeight="1" thickBot="1" x14ac:dyDescent="0.25">
      <c r="H37" s="195"/>
      <c r="I37" s="195"/>
    </row>
    <row r="38" spans="1:17" ht="13.5" customHeight="1" thickBot="1" x14ac:dyDescent="0.25">
      <c r="A38" s="212" t="s">
        <v>189</v>
      </c>
      <c r="B38" s="213">
        <v>75000</v>
      </c>
      <c r="C38" s="214">
        <f>L38+M38</f>
        <v>72541</v>
      </c>
      <c r="D38" s="215">
        <f>C38/B38</f>
        <v>0.96721333333333337</v>
      </c>
      <c r="E38" s="214">
        <v>1170000</v>
      </c>
      <c r="F38" s="214">
        <f>N38+O38</f>
        <v>1308692</v>
      </c>
      <c r="G38" s="215">
        <f>F38/E38</f>
        <v>1.118540170940171</v>
      </c>
      <c r="H38" s="216">
        <v>215000000</v>
      </c>
      <c r="I38" s="214">
        <f>P38+Q38</f>
        <v>220917677</v>
      </c>
      <c r="J38" s="215">
        <f>I38/H38</f>
        <v>1.0275240790697675</v>
      </c>
      <c r="L38" s="572">
        <v>67371</v>
      </c>
      <c r="M38" s="572">
        <v>5170</v>
      </c>
      <c r="N38" s="572">
        <v>1220145</v>
      </c>
      <c r="O38" s="572">
        <v>88547</v>
      </c>
      <c r="P38" s="572">
        <v>205833556</v>
      </c>
      <c r="Q38" s="572">
        <v>15084121</v>
      </c>
    </row>
    <row r="39" spans="1:17" ht="12" customHeight="1" thickBot="1" x14ac:dyDescent="0.25">
      <c r="H39" s="195"/>
      <c r="I39" s="195"/>
    </row>
    <row r="40" spans="1:17" ht="13.5" customHeight="1" thickBot="1" x14ac:dyDescent="0.25">
      <c r="A40" s="212" t="s">
        <v>190</v>
      </c>
      <c r="B40" s="213">
        <v>6710</v>
      </c>
      <c r="C40" s="214">
        <f>L40+M40</f>
        <v>6940</v>
      </c>
      <c r="D40" s="215">
        <f>C40/B40</f>
        <v>1.0342771982116243</v>
      </c>
      <c r="E40" s="214">
        <v>16450</v>
      </c>
      <c r="F40" s="214">
        <f>N40+O40</f>
        <v>15084</v>
      </c>
      <c r="G40" s="215">
        <f>F40/E40</f>
        <v>0.91696048632218841</v>
      </c>
      <c r="H40" s="216">
        <v>7930000</v>
      </c>
      <c r="I40" s="214">
        <f>P40+Q40</f>
        <v>6414430</v>
      </c>
      <c r="J40" s="215">
        <f>I40/H40</f>
        <v>0.80888146279949558</v>
      </c>
      <c r="L40" s="572">
        <v>6555</v>
      </c>
      <c r="M40" s="572">
        <v>385</v>
      </c>
      <c r="N40" s="572">
        <v>14212</v>
      </c>
      <c r="O40" s="572">
        <v>872</v>
      </c>
      <c r="P40" s="572">
        <v>5924230</v>
      </c>
      <c r="Q40" s="572">
        <v>490200</v>
      </c>
    </row>
    <row r="41" spans="1:17" ht="12" customHeight="1" x14ac:dyDescent="0.2">
      <c r="B41" s="195"/>
    </row>
    <row r="42" spans="1:17" ht="13.5" customHeight="1" x14ac:dyDescent="0.2">
      <c r="A42" s="8" t="s">
        <v>249</v>
      </c>
      <c r="B42" s="195"/>
      <c r="L42" s="572">
        <f>SUM(L36,L38,L40)</f>
        <v>425515</v>
      </c>
      <c r="M42" s="572">
        <f t="shared" ref="M42:Q42" si="15">SUM(M36,M38,M40)</f>
        <v>30481</v>
      </c>
      <c r="N42" s="572">
        <f t="shared" si="15"/>
        <v>2896597</v>
      </c>
      <c r="O42" s="572">
        <f t="shared" si="15"/>
        <v>208917</v>
      </c>
      <c r="P42" s="572">
        <f t="shared" si="15"/>
        <v>648332076</v>
      </c>
      <c r="Q42" s="572">
        <f t="shared" si="15"/>
        <v>47740375</v>
      </c>
    </row>
    <row r="43" spans="1:17" ht="13.5" customHeight="1" x14ac:dyDescent="0.2">
      <c r="A43" s="8"/>
      <c r="B43" s="195"/>
    </row>
    <row r="44" spans="1:17" ht="13.5" customHeight="1" x14ac:dyDescent="0.2">
      <c r="B44" s="195"/>
    </row>
  </sheetData>
  <mergeCells count="7">
    <mergeCell ref="P1:Q1"/>
    <mergeCell ref="A1:A2"/>
    <mergeCell ref="B1:D1"/>
    <mergeCell ref="E1:G1"/>
    <mergeCell ref="H1:J1"/>
    <mergeCell ref="L1:M1"/>
    <mergeCell ref="N1:O1"/>
  </mergeCells>
  <conditionalFormatting sqref="L24:IU33 L1:Q1 R1:IV23 L3:Q23 L34:IV65535 A1:K65535">
    <cfRule type="cellIs" dxfId="40" priority="2" stopIfTrue="1" operator="equal">
      <formula>0</formula>
    </cfRule>
  </conditionalFormatting>
  <conditionalFormatting sqref="L40:Q40">
    <cfRule type="cellIs" dxfId="39" priority="1" stopIfTrue="1" operator="equal">
      <formula>0</formula>
    </cfRule>
  </conditionalFormatting>
  <printOptions horizontalCentered="1" verticalCentered="1"/>
  <pageMargins left="0" right="0" top="0.6692913385826772" bottom="0.59055118110236227" header="0.31496062992125984" footer="0.31496062992125984"/>
  <pageSetup paperSize="9" scale="86" orientation="landscape" r:id="rId1"/>
  <headerFooter alignWithMargins="0">
    <oddHeader>&amp;C&amp;"Arial CE,Félkövér"XIII. Kerületi Egészségügyi Szolgálat Közhasznú Nonprofit Kft.
2016. évi teljesítménye szakterületenkénti bontásban&amp;R2. sz. melléklet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zoomScale="90" zoomScaleNormal="90" workbookViewId="0">
      <selection activeCell="R1" sqref="R1"/>
    </sheetView>
  </sheetViews>
  <sheetFormatPr defaultRowHeight="26.25" customHeight="1" x14ac:dyDescent="0.2"/>
  <cols>
    <col min="1" max="1" width="14.42578125" style="3" customWidth="1"/>
    <col min="2" max="2" width="7.7109375" style="3" customWidth="1"/>
    <col min="3" max="15" width="7.7109375" style="8" customWidth="1"/>
    <col min="16" max="17" width="8.7109375" style="8" customWidth="1"/>
    <col min="18" max="264" width="9.140625" style="8"/>
    <col min="265" max="265" width="14.42578125" style="8" customWidth="1"/>
    <col min="266" max="271" width="13.7109375" style="8" customWidth="1"/>
    <col min="272" max="520" width="9.140625" style="8"/>
    <col min="521" max="521" width="14.42578125" style="8" customWidth="1"/>
    <col min="522" max="527" width="13.7109375" style="8" customWidth="1"/>
    <col min="528" max="776" width="9.140625" style="8"/>
    <col min="777" max="777" width="14.42578125" style="8" customWidth="1"/>
    <col min="778" max="783" width="13.7109375" style="8" customWidth="1"/>
    <col min="784" max="1032" width="9.140625" style="8"/>
    <col min="1033" max="1033" width="14.42578125" style="8" customWidth="1"/>
    <col min="1034" max="1039" width="13.7109375" style="8" customWidth="1"/>
    <col min="1040" max="1288" width="9.140625" style="8"/>
    <col min="1289" max="1289" width="14.42578125" style="8" customWidth="1"/>
    <col min="1290" max="1295" width="13.7109375" style="8" customWidth="1"/>
    <col min="1296" max="1544" width="9.140625" style="8"/>
    <col min="1545" max="1545" width="14.42578125" style="8" customWidth="1"/>
    <col min="1546" max="1551" width="13.7109375" style="8" customWidth="1"/>
    <col min="1552" max="1800" width="9.140625" style="8"/>
    <col min="1801" max="1801" width="14.42578125" style="8" customWidth="1"/>
    <col min="1802" max="1807" width="13.7109375" style="8" customWidth="1"/>
    <col min="1808" max="2056" width="9.140625" style="8"/>
    <col min="2057" max="2057" width="14.42578125" style="8" customWidth="1"/>
    <col min="2058" max="2063" width="13.7109375" style="8" customWidth="1"/>
    <col min="2064" max="2312" width="9.140625" style="8"/>
    <col min="2313" max="2313" width="14.42578125" style="8" customWidth="1"/>
    <col min="2314" max="2319" width="13.7109375" style="8" customWidth="1"/>
    <col min="2320" max="2568" width="9.140625" style="8"/>
    <col min="2569" max="2569" width="14.42578125" style="8" customWidth="1"/>
    <col min="2570" max="2575" width="13.7109375" style="8" customWidth="1"/>
    <col min="2576" max="2824" width="9.140625" style="8"/>
    <col min="2825" max="2825" width="14.42578125" style="8" customWidth="1"/>
    <col min="2826" max="2831" width="13.7109375" style="8" customWidth="1"/>
    <col min="2832" max="3080" width="9.140625" style="8"/>
    <col min="3081" max="3081" width="14.42578125" style="8" customWidth="1"/>
    <col min="3082" max="3087" width="13.7109375" style="8" customWidth="1"/>
    <col min="3088" max="3336" width="9.140625" style="8"/>
    <col min="3337" max="3337" width="14.42578125" style="8" customWidth="1"/>
    <col min="3338" max="3343" width="13.7109375" style="8" customWidth="1"/>
    <col min="3344" max="3592" width="9.140625" style="8"/>
    <col min="3593" max="3593" width="14.42578125" style="8" customWidth="1"/>
    <col min="3594" max="3599" width="13.7109375" style="8" customWidth="1"/>
    <col min="3600" max="3848" width="9.140625" style="8"/>
    <col min="3849" max="3849" width="14.42578125" style="8" customWidth="1"/>
    <col min="3850" max="3855" width="13.7109375" style="8" customWidth="1"/>
    <col min="3856" max="4104" width="9.140625" style="8"/>
    <col min="4105" max="4105" width="14.42578125" style="8" customWidth="1"/>
    <col min="4106" max="4111" width="13.7109375" style="8" customWidth="1"/>
    <col min="4112" max="4360" width="9.140625" style="8"/>
    <col min="4361" max="4361" width="14.42578125" style="8" customWidth="1"/>
    <col min="4362" max="4367" width="13.7109375" style="8" customWidth="1"/>
    <col min="4368" max="4616" width="9.140625" style="8"/>
    <col min="4617" max="4617" width="14.42578125" style="8" customWidth="1"/>
    <col min="4618" max="4623" width="13.7109375" style="8" customWidth="1"/>
    <col min="4624" max="4872" width="9.140625" style="8"/>
    <col min="4873" max="4873" width="14.42578125" style="8" customWidth="1"/>
    <col min="4874" max="4879" width="13.7109375" style="8" customWidth="1"/>
    <col min="4880" max="5128" width="9.140625" style="8"/>
    <col min="5129" max="5129" width="14.42578125" style="8" customWidth="1"/>
    <col min="5130" max="5135" width="13.7109375" style="8" customWidth="1"/>
    <col min="5136" max="5384" width="9.140625" style="8"/>
    <col min="5385" max="5385" width="14.42578125" style="8" customWidth="1"/>
    <col min="5386" max="5391" width="13.7109375" style="8" customWidth="1"/>
    <col min="5392" max="5640" width="9.140625" style="8"/>
    <col min="5641" max="5641" width="14.42578125" style="8" customWidth="1"/>
    <col min="5642" max="5647" width="13.7109375" style="8" customWidth="1"/>
    <col min="5648" max="5896" width="9.140625" style="8"/>
    <col min="5897" max="5897" width="14.42578125" style="8" customWidth="1"/>
    <col min="5898" max="5903" width="13.7109375" style="8" customWidth="1"/>
    <col min="5904" max="6152" width="9.140625" style="8"/>
    <col min="6153" max="6153" width="14.42578125" style="8" customWidth="1"/>
    <col min="6154" max="6159" width="13.7109375" style="8" customWidth="1"/>
    <col min="6160" max="6408" width="9.140625" style="8"/>
    <col min="6409" max="6409" width="14.42578125" style="8" customWidth="1"/>
    <col min="6410" max="6415" width="13.7109375" style="8" customWidth="1"/>
    <col min="6416" max="6664" width="9.140625" style="8"/>
    <col min="6665" max="6665" width="14.42578125" style="8" customWidth="1"/>
    <col min="6666" max="6671" width="13.7109375" style="8" customWidth="1"/>
    <col min="6672" max="6920" width="9.140625" style="8"/>
    <col min="6921" max="6921" width="14.42578125" style="8" customWidth="1"/>
    <col min="6922" max="6927" width="13.7109375" style="8" customWidth="1"/>
    <col min="6928" max="7176" width="9.140625" style="8"/>
    <col min="7177" max="7177" width="14.42578125" style="8" customWidth="1"/>
    <col min="7178" max="7183" width="13.7109375" style="8" customWidth="1"/>
    <col min="7184" max="7432" width="9.140625" style="8"/>
    <col min="7433" max="7433" width="14.42578125" style="8" customWidth="1"/>
    <col min="7434" max="7439" width="13.7109375" style="8" customWidth="1"/>
    <col min="7440" max="7688" width="9.140625" style="8"/>
    <col min="7689" max="7689" width="14.42578125" style="8" customWidth="1"/>
    <col min="7690" max="7695" width="13.7109375" style="8" customWidth="1"/>
    <col min="7696" max="7944" width="9.140625" style="8"/>
    <col min="7945" max="7945" width="14.42578125" style="8" customWidth="1"/>
    <col min="7946" max="7951" width="13.7109375" style="8" customWidth="1"/>
    <col min="7952" max="8200" width="9.140625" style="8"/>
    <col min="8201" max="8201" width="14.42578125" style="8" customWidth="1"/>
    <col min="8202" max="8207" width="13.7109375" style="8" customWidth="1"/>
    <col min="8208" max="8456" width="9.140625" style="8"/>
    <col min="8457" max="8457" width="14.42578125" style="8" customWidth="1"/>
    <col min="8458" max="8463" width="13.7109375" style="8" customWidth="1"/>
    <col min="8464" max="8712" width="9.140625" style="8"/>
    <col min="8713" max="8713" width="14.42578125" style="8" customWidth="1"/>
    <col min="8714" max="8719" width="13.7109375" style="8" customWidth="1"/>
    <col min="8720" max="8968" width="9.140625" style="8"/>
    <col min="8969" max="8969" width="14.42578125" style="8" customWidth="1"/>
    <col min="8970" max="8975" width="13.7109375" style="8" customWidth="1"/>
    <col min="8976" max="9224" width="9.140625" style="8"/>
    <col min="9225" max="9225" width="14.42578125" style="8" customWidth="1"/>
    <col min="9226" max="9231" width="13.7109375" style="8" customWidth="1"/>
    <col min="9232" max="9480" width="9.140625" style="8"/>
    <col min="9481" max="9481" width="14.42578125" style="8" customWidth="1"/>
    <col min="9482" max="9487" width="13.7109375" style="8" customWidth="1"/>
    <col min="9488" max="9736" width="9.140625" style="8"/>
    <col min="9737" max="9737" width="14.42578125" style="8" customWidth="1"/>
    <col min="9738" max="9743" width="13.7109375" style="8" customWidth="1"/>
    <col min="9744" max="9992" width="9.140625" style="8"/>
    <col min="9993" max="9993" width="14.42578125" style="8" customWidth="1"/>
    <col min="9994" max="9999" width="13.7109375" style="8" customWidth="1"/>
    <col min="10000" max="10248" width="9.140625" style="8"/>
    <col min="10249" max="10249" width="14.42578125" style="8" customWidth="1"/>
    <col min="10250" max="10255" width="13.7109375" style="8" customWidth="1"/>
    <col min="10256" max="10504" width="9.140625" style="8"/>
    <col min="10505" max="10505" width="14.42578125" style="8" customWidth="1"/>
    <col min="10506" max="10511" width="13.7109375" style="8" customWidth="1"/>
    <col min="10512" max="10760" width="9.140625" style="8"/>
    <col min="10761" max="10761" width="14.42578125" style="8" customWidth="1"/>
    <col min="10762" max="10767" width="13.7109375" style="8" customWidth="1"/>
    <col min="10768" max="11016" width="9.140625" style="8"/>
    <col min="11017" max="11017" width="14.42578125" style="8" customWidth="1"/>
    <col min="11018" max="11023" width="13.7109375" style="8" customWidth="1"/>
    <col min="11024" max="11272" width="9.140625" style="8"/>
    <col min="11273" max="11273" width="14.42578125" style="8" customWidth="1"/>
    <col min="11274" max="11279" width="13.7109375" style="8" customWidth="1"/>
    <col min="11280" max="11528" width="9.140625" style="8"/>
    <col min="11529" max="11529" width="14.42578125" style="8" customWidth="1"/>
    <col min="11530" max="11535" width="13.7109375" style="8" customWidth="1"/>
    <col min="11536" max="11784" width="9.140625" style="8"/>
    <col min="11785" max="11785" width="14.42578125" style="8" customWidth="1"/>
    <col min="11786" max="11791" width="13.7109375" style="8" customWidth="1"/>
    <col min="11792" max="12040" width="9.140625" style="8"/>
    <col min="12041" max="12041" width="14.42578125" style="8" customWidth="1"/>
    <col min="12042" max="12047" width="13.7109375" style="8" customWidth="1"/>
    <col min="12048" max="12296" width="9.140625" style="8"/>
    <col min="12297" max="12297" width="14.42578125" style="8" customWidth="1"/>
    <col min="12298" max="12303" width="13.7109375" style="8" customWidth="1"/>
    <col min="12304" max="12552" width="9.140625" style="8"/>
    <col min="12553" max="12553" width="14.42578125" style="8" customWidth="1"/>
    <col min="12554" max="12559" width="13.7109375" style="8" customWidth="1"/>
    <col min="12560" max="12808" width="9.140625" style="8"/>
    <col min="12809" max="12809" width="14.42578125" style="8" customWidth="1"/>
    <col min="12810" max="12815" width="13.7109375" style="8" customWidth="1"/>
    <col min="12816" max="13064" width="9.140625" style="8"/>
    <col min="13065" max="13065" width="14.42578125" style="8" customWidth="1"/>
    <col min="13066" max="13071" width="13.7109375" style="8" customWidth="1"/>
    <col min="13072" max="13320" width="9.140625" style="8"/>
    <col min="13321" max="13321" width="14.42578125" style="8" customWidth="1"/>
    <col min="13322" max="13327" width="13.7109375" style="8" customWidth="1"/>
    <col min="13328" max="13576" width="9.140625" style="8"/>
    <col min="13577" max="13577" width="14.42578125" style="8" customWidth="1"/>
    <col min="13578" max="13583" width="13.7109375" style="8" customWidth="1"/>
    <col min="13584" max="13832" width="9.140625" style="8"/>
    <col min="13833" max="13833" width="14.42578125" style="8" customWidth="1"/>
    <col min="13834" max="13839" width="13.7109375" style="8" customWidth="1"/>
    <col min="13840" max="14088" width="9.140625" style="8"/>
    <col min="14089" max="14089" width="14.42578125" style="8" customWidth="1"/>
    <col min="14090" max="14095" width="13.7109375" style="8" customWidth="1"/>
    <col min="14096" max="14344" width="9.140625" style="8"/>
    <col min="14345" max="14345" width="14.42578125" style="8" customWidth="1"/>
    <col min="14346" max="14351" width="13.7109375" style="8" customWidth="1"/>
    <col min="14352" max="14600" width="9.140625" style="8"/>
    <col min="14601" max="14601" width="14.42578125" style="8" customWidth="1"/>
    <col min="14602" max="14607" width="13.7109375" style="8" customWidth="1"/>
    <col min="14608" max="14856" width="9.140625" style="8"/>
    <col min="14857" max="14857" width="14.42578125" style="8" customWidth="1"/>
    <col min="14858" max="14863" width="13.7109375" style="8" customWidth="1"/>
    <col min="14864" max="15112" width="9.140625" style="8"/>
    <col min="15113" max="15113" width="14.42578125" style="8" customWidth="1"/>
    <col min="15114" max="15119" width="13.7109375" style="8" customWidth="1"/>
    <col min="15120" max="15368" width="9.140625" style="8"/>
    <col min="15369" max="15369" width="14.42578125" style="8" customWidth="1"/>
    <col min="15370" max="15375" width="13.7109375" style="8" customWidth="1"/>
    <col min="15376" max="15624" width="9.140625" style="8"/>
    <col min="15625" max="15625" width="14.42578125" style="8" customWidth="1"/>
    <col min="15626" max="15631" width="13.7109375" style="8" customWidth="1"/>
    <col min="15632" max="15880" width="9.140625" style="8"/>
    <col min="15881" max="15881" width="14.42578125" style="8" customWidth="1"/>
    <col min="15882" max="15887" width="13.7109375" style="8" customWidth="1"/>
    <col min="15888" max="16136" width="9.140625" style="8"/>
    <col min="16137" max="16137" width="14.42578125" style="8" customWidth="1"/>
    <col min="16138" max="16143" width="13.7109375" style="8" customWidth="1"/>
    <col min="16144" max="16384" width="9.140625" style="8"/>
  </cols>
  <sheetData>
    <row r="1" spans="1:17" s="3" customFormat="1" ht="26.25" customHeight="1" x14ac:dyDescent="0.2">
      <c r="A1" s="618" t="s">
        <v>191</v>
      </c>
      <c r="B1" s="618" t="s">
        <v>192</v>
      </c>
      <c r="C1" s="618"/>
      <c r="D1" s="618"/>
      <c r="E1" s="618"/>
      <c r="F1" s="618"/>
      <c r="G1" s="618"/>
      <c r="H1" s="618"/>
      <c r="I1" s="618"/>
      <c r="J1" s="618"/>
      <c r="K1" s="618"/>
      <c r="L1" s="618"/>
      <c r="M1" s="618"/>
      <c r="N1" s="619" t="s">
        <v>193</v>
      </c>
      <c r="O1" s="619"/>
      <c r="P1" s="619" t="s">
        <v>194</v>
      </c>
      <c r="Q1" s="619"/>
    </row>
    <row r="2" spans="1:17" s="3" customFormat="1" ht="26.25" customHeight="1" x14ac:dyDescent="0.2">
      <c r="A2" s="618"/>
      <c r="B2" s="618" t="s">
        <v>195</v>
      </c>
      <c r="C2" s="618"/>
      <c r="D2" s="618" t="s">
        <v>196</v>
      </c>
      <c r="E2" s="618"/>
      <c r="F2" s="618" t="s">
        <v>197</v>
      </c>
      <c r="G2" s="618"/>
      <c r="H2" s="618" t="s">
        <v>198</v>
      </c>
      <c r="I2" s="618"/>
      <c r="J2" s="618" t="s">
        <v>199</v>
      </c>
      <c r="K2" s="618"/>
      <c r="L2" s="618" t="s">
        <v>200</v>
      </c>
      <c r="M2" s="618"/>
      <c r="N2" s="619"/>
      <c r="O2" s="619"/>
      <c r="P2" s="619"/>
      <c r="Q2" s="619"/>
    </row>
    <row r="3" spans="1:17" s="3" customFormat="1" ht="26.25" customHeight="1" x14ac:dyDescent="0.2">
      <c r="A3" s="618"/>
      <c r="B3" s="218">
        <v>2015</v>
      </c>
      <c r="C3" s="219">
        <v>2016</v>
      </c>
      <c r="D3" s="218">
        <v>2015</v>
      </c>
      <c r="E3" s="219">
        <v>2016</v>
      </c>
      <c r="F3" s="218">
        <v>2015</v>
      </c>
      <c r="G3" s="219">
        <v>2016</v>
      </c>
      <c r="H3" s="218">
        <v>2015</v>
      </c>
      <c r="I3" s="219">
        <v>2016</v>
      </c>
      <c r="J3" s="218">
        <v>2015</v>
      </c>
      <c r="K3" s="219">
        <v>2016</v>
      </c>
      <c r="L3" s="218">
        <v>2015</v>
      </c>
      <c r="M3" s="219">
        <v>2016</v>
      </c>
      <c r="N3" s="218">
        <v>2015</v>
      </c>
      <c r="O3" s="219">
        <v>2016</v>
      </c>
      <c r="P3" s="218">
        <v>2015</v>
      </c>
      <c r="Q3" s="219">
        <v>2016</v>
      </c>
    </row>
    <row r="4" spans="1:17" ht="26.25" customHeight="1" x14ac:dyDescent="0.2">
      <c r="A4" s="130" t="s">
        <v>201</v>
      </c>
      <c r="B4" s="220">
        <v>19</v>
      </c>
      <c r="C4" s="221">
        <f>7+1+2+5+4+2+7+3</f>
        <v>31</v>
      </c>
      <c r="D4" s="220">
        <v>23</v>
      </c>
      <c r="E4" s="221">
        <f>7+2+3+2</f>
        <v>14</v>
      </c>
      <c r="F4" s="220">
        <v>29</v>
      </c>
      <c r="G4" s="221">
        <f>11+20+1</f>
        <v>32</v>
      </c>
      <c r="H4" s="220">
        <v>10</v>
      </c>
      <c r="I4" s="221">
        <f>2+3</f>
        <v>5</v>
      </c>
      <c r="J4" s="220">
        <v>8</v>
      </c>
      <c r="K4" s="221">
        <f>4+2</f>
        <v>6</v>
      </c>
      <c r="L4" s="220">
        <v>1</v>
      </c>
      <c r="M4" s="221">
        <f>3</f>
        <v>3</v>
      </c>
      <c r="N4" s="222">
        <v>45.587859999999999</v>
      </c>
      <c r="O4" s="223">
        <f>47.33702+0.53028</f>
        <v>47.8673</v>
      </c>
      <c r="P4" s="220">
        <f>SUM(B4,D4,F4,H4,J4,L4)</f>
        <v>90</v>
      </c>
      <c r="Q4" s="221">
        <f>SUM(C4,E4,G4,I4,K4,M4)</f>
        <v>91</v>
      </c>
    </row>
    <row r="5" spans="1:17" ht="26.25" customHeight="1" x14ac:dyDescent="0.2">
      <c r="A5" s="130" t="s">
        <v>202</v>
      </c>
      <c r="B5" s="220">
        <v>23</v>
      </c>
      <c r="C5" s="221">
        <f>4+1+2+3+2+2+1+1+2</f>
        <v>18</v>
      </c>
      <c r="D5" s="220">
        <v>26</v>
      </c>
      <c r="E5" s="221">
        <f>7+1+5+3+1</f>
        <v>17</v>
      </c>
      <c r="F5" s="220">
        <v>24</v>
      </c>
      <c r="G5" s="221">
        <f>9+36+3</f>
        <v>48</v>
      </c>
      <c r="H5" s="220">
        <v>7</v>
      </c>
      <c r="I5" s="221">
        <f>1+1+1</f>
        <v>3</v>
      </c>
      <c r="J5" s="220">
        <v>11</v>
      </c>
      <c r="K5" s="221">
        <f>6+7+4+1</f>
        <v>18</v>
      </c>
      <c r="L5" s="220">
        <v>3</v>
      </c>
      <c r="M5" s="221">
        <f>1+1</f>
        <v>2</v>
      </c>
      <c r="N5" s="222">
        <v>48.350709999999999</v>
      </c>
      <c r="O5" s="223">
        <f>53.36523+1.51261</f>
        <v>54.877839999999999</v>
      </c>
      <c r="P5" s="220">
        <f t="shared" ref="P5:Q9" si="0">SUM(B5,D5,F5,H5,J5,L5)</f>
        <v>94</v>
      </c>
      <c r="Q5" s="221">
        <f t="shared" si="0"/>
        <v>106</v>
      </c>
    </row>
    <row r="6" spans="1:17" ht="26.25" customHeight="1" x14ac:dyDescent="0.2">
      <c r="A6" s="130" t="s">
        <v>203</v>
      </c>
      <c r="B6" s="220">
        <v>27</v>
      </c>
      <c r="C6" s="221">
        <f>8+2+1+4+5+1+2+1+3+1+1+1+1</f>
        <v>31</v>
      </c>
      <c r="D6" s="220">
        <v>29</v>
      </c>
      <c r="E6" s="221">
        <f>6+8+3+3+1+2+3+2</f>
        <v>28</v>
      </c>
      <c r="F6" s="220">
        <v>29</v>
      </c>
      <c r="G6" s="221">
        <f>1+22</f>
        <v>23</v>
      </c>
      <c r="H6" s="220">
        <v>6</v>
      </c>
      <c r="I6" s="221">
        <f>3+1+2</f>
        <v>6</v>
      </c>
      <c r="J6" s="220">
        <v>16</v>
      </c>
      <c r="K6" s="221">
        <f>2+1+4+2+1</f>
        <v>10</v>
      </c>
      <c r="L6" s="220">
        <v>1</v>
      </c>
      <c r="M6" s="221">
        <f>1+2</f>
        <v>3</v>
      </c>
      <c r="N6" s="222">
        <v>52.7316</v>
      </c>
      <c r="O6" s="223">
        <f>40.2824+11.78998</f>
        <v>52.072380000000003</v>
      </c>
      <c r="P6" s="220">
        <f t="shared" si="0"/>
        <v>108</v>
      </c>
      <c r="Q6" s="221">
        <f t="shared" si="0"/>
        <v>101</v>
      </c>
    </row>
    <row r="7" spans="1:17" ht="26.25" customHeight="1" x14ac:dyDescent="0.2">
      <c r="A7" s="130" t="s">
        <v>204</v>
      </c>
      <c r="B7" s="220">
        <v>25</v>
      </c>
      <c r="C7" s="221">
        <f>2+2+2+1+5+3+3+3+1</f>
        <v>22</v>
      </c>
      <c r="D7" s="220">
        <v>28</v>
      </c>
      <c r="E7" s="221">
        <f>6+8+4+2+1+1</f>
        <v>22</v>
      </c>
      <c r="F7" s="220">
        <v>29</v>
      </c>
      <c r="G7" s="221">
        <f>14+21+1</f>
        <v>36</v>
      </c>
      <c r="H7" s="220">
        <v>7</v>
      </c>
      <c r="I7" s="221">
        <f>2+1+2+2</f>
        <v>7</v>
      </c>
      <c r="J7" s="220">
        <v>17</v>
      </c>
      <c r="K7" s="221">
        <f>4+1+4+2+3</f>
        <v>14</v>
      </c>
      <c r="L7" s="220">
        <v>3</v>
      </c>
      <c r="M7" s="221">
        <f>1</f>
        <v>1</v>
      </c>
      <c r="N7" s="222">
        <v>52.773429999999998</v>
      </c>
      <c r="O7" s="223">
        <f>51.82707+0.89565</f>
        <v>52.722720000000002</v>
      </c>
      <c r="P7" s="220">
        <f t="shared" si="0"/>
        <v>109</v>
      </c>
      <c r="Q7" s="221">
        <f t="shared" si="0"/>
        <v>102</v>
      </c>
    </row>
    <row r="8" spans="1:17" ht="26.25" customHeight="1" x14ac:dyDescent="0.2">
      <c r="A8" s="130" t="s">
        <v>205</v>
      </c>
      <c r="B8" s="224">
        <v>30</v>
      </c>
      <c r="C8" s="225">
        <f>3+3+3+5+1+1+1+2+1+2+1</f>
        <v>23</v>
      </c>
      <c r="D8" s="224">
        <v>23</v>
      </c>
      <c r="E8" s="225">
        <f>2+5+6+5+1+3+1+1+2</f>
        <v>26</v>
      </c>
      <c r="F8" s="224">
        <v>27</v>
      </c>
      <c r="G8" s="225">
        <f>8+29+1+1</f>
        <v>39</v>
      </c>
      <c r="H8" s="224">
        <v>6</v>
      </c>
      <c r="I8" s="225">
        <f>2+3+1</f>
        <v>6</v>
      </c>
      <c r="J8" s="224">
        <v>10</v>
      </c>
      <c r="K8" s="225">
        <f>2+1+3+2+1</f>
        <v>9</v>
      </c>
      <c r="L8" s="224">
        <v>1</v>
      </c>
      <c r="M8" s="225">
        <f>2</f>
        <v>2</v>
      </c>
      <c r="N8" s="226">
        <v>51.351469999999999</v>
      </c>
      <c r="O8" s="227">
        <f>53.87122+3.26892</f>
        <v>57.140140000000002</v>
      </c>
      <c r="P8" s="220">
        <f t="shared" si="0"/>
        <v>97</v>
      </c>
      <c r="Q8" s="221">
        <f t="shared" si="0"/>
        <v>105</v>
      </c>
    </row>
    <row r="9" spans="1:17" ht="26.25" customHeight="1" x14ac:dyDescent="0.2">
      <c r="A9" s="130" t="s">
        <v>206</v>
      </c>
      <c r="B9" s="224">
        <v>19</v>
      </c>
      <c r="C9" s="225">
        <f>1+1+1+3+3+2+1+2+2+2</f>
        <v>18</v>
      </c>
      <c r="D9" s="224">
        <v>25</v>
      </c>
      <c r="E9" s="225">
        <f>1+4+1+10+3+2+4+1+2+1</f>
        <v>29</v>
      </c>
      <c r="F9" s="224">
        <v>35</v>
      </c>
      <c r="G9" s="225">
        <f>5+19+1</f>
        <v>25</v>
      </c>
      <c r="H9" s="224">
        <v>3</v>
      </c>
      <c r="I9" s="225">
        <f>1+2+2+1</f>
        <v>6</v>
      </c>
      <c r="J9" s="224">
        <v>15</v>
      </c>
      <c r="K9" s="225">
        <f>5+1+7+3+4+2</f>
        <v>22</v>
      </c>
      <c r="L9" s="224">
        <v>2</v>
      </c>
      <c r="M9" s="225"/>
      <c r="N9" s="228">
        <v>49.304000000000002</v>
      </c>
      <c r="O9" s="281">
        <f>49.53403</f>
        <v>49.534030000000001</v>
      </c>
      <c r="P9" s="224">
        <f t="shared" si="0"/>
        <v>99</v>
      </c>
      <c r="Q9" s="225">
        <f t="shared" si="0"/>
        <v>100</v>
      </c>
    </row>
    <row r="10" spans="1:17" ht="26.25" customHeight="1" x14ac:dyDescent="0.2">
      <c r="A10" s="280" t="s">
        <v>243</v>
      </c>
      <c r="B10" s="224">
        <v>20</v>
      </c>
      <c r="C10" s="225">
        <f>2+1+4+1+1+1+1+2+1</f>
        <v>14</v>
      </c>
      <c r="D10" s="224">
        <v>23</v>
      </c>
      <c r="E10" s="225">
        <f>2+7+6+5+1+2+1+2</f>
        <v>26</v>
      </c>
      <c r="F10" s="224">
        <v>30</v>
      </c>
      <c r="G10" s="225">
        <f>6+21+1</f>
        <v>28</v>
      </c>
      <c r="H10" s="224">
        <v>5</v>
      </c>
      <c r="I10" s="225">
        <f>1+1+2+1+2</f>
        <v>7</v>
      </c>
      <c r="J10" s="224">
        <v>11</v>
      </c>
      <c r="K10" s="225">
        <f>1+9+4+2+1+2</f>
        <v>19</v>
      </c>
      <c r="L10" s="224"/>
      <c r="M10" s="225">
        <f>1</f>
        <v>1</v>
      </c>
      <c r="N10" s="228">
        <v>47.976320000000001</v>
      </c>
      <c r="O10" s="281">
        <v>47.434089999999998</v>
      </c>
      <c r="P10" s="220">
        <f t="shared" ref="P10:P15" si="1">SUM(B10,D10,F10,H10,J10,L10)</f>
        <v>89</v>
      </c>
      <c r="Q10" s="221">
        <f t="shared" ref="Q10:Q15" si="2">SUM(C10,E10,G10,I10,K10,M10)</f>
        <v>95</v>
      </c>
    </row>
    <row r="11" spans="1:17" ht="26.25" customHeight="1" x14ac:dyDescent="0.2">
      <c r="A11" s="280" t="s">
        <v>244</v>
      </c>
      <c r="B11" s="224">
        <v>9</v>
      </c>
      <c r="C11" s="225">
        <f>1+2+1</f>
        <v>4</v>
      </c>
      <c r="D11" s="224">
        <v>26</v>
      </c>
      <c r="E11" s="225">
        <f>9+3+2+2</f>
        <v>16</v>
      </c>
      <c r="F11" s="224">
        <v>17</v>
      </c>
      <c r="G11" s="225">
        <f>4+20</f>
        <v>24</v>
      </c>
      <c r="H11" s="224">
        <v>4</v>
      </c>
      <c r="I11" s="225">
        <f>1</f>
        <v>1</v>
      </c>
      <c r="J11" s="224">
        <v>3</v>
      </c>
      <c r="K11" s="225">
        <f>6+5+4</f>
        <v>15</v>
      </c>
      <c r="L11" s="224"/>
      <c r="M11" s="225"/>
      <c r="N11" s="228">
        <v>35.559199999999997</v>
      </c>
      <c r="O11" s="281">
        <v>34.932049999999997</v>
      </c>
      <c r="P11" s="224">
        <f t="shared" si="1"/>
        <v>59</v>
      </c>
      <c r="Q11" s="225">
        <f t="shared" si="2"/>
        <v>60</v>
      </c>
    </row>
    <row r="12" spans="1:17" ht="26.25" customHeight="1" x14ac:dyDescent="0.2">
      <c r="A12" s="280" t="s">
        <v>245</v>
      </c>
      <c r="B12" s="224">
        <v>25</v>
      </c>
      <c r="C12" s="225">
        <f>3+3+1+4+1+3+1+2+5+1+1</f>
        <v>25</v>
      </c>
      <c r="D12" s="224">
        <v>37</v>
      </c>
      <c r="E12" s="225">
        <f>1+12+11+5+1+4+1</f>
        <v>35</v>
      </c>
      <c r="F12" s="224">
        <v>21</v>
      </c>
      <c r="G12" s="225">
        <f>6+19+1</f>
        <v>26</v>
      </c>
      <c r="H12" s="224">
        <v>8</v>
      </c>
      <c r="I12" s="225">
        <f>1+3+1+3</f>
        <v>8</v>
      </c>
      <c r="J12" s="224">
        <v>19</v>
      </c>
      <c r="K12" s="225">
        <f>3+4+2+1+8+1</f>
        <v>19</v>
      </c>
      <c r="L12" s="224">
        <v>3</v>
      </c>
      <c r="M12" s="225">
        <f>3</f>
        <v>3</v>
      </c>
      <c r="N12" s="228">
        <v>57.00788</v>
      </c>
      <c r="O12" s="281">
        <v>60.111789999999999</v>
      </c>
      <c r="P12" s="220">
        <f t="shared" si="1"/>
        <v>113</v>
      </c>
      <c r="Q12" s="225">
        <f t="shared" si="2"/>
        <v>116</v>
      </c>
    </row>
    <row r="13" spans="1:17" ht="26.25" customHeight="1" x14ac:dyDescent="0.2">
      <c r="A13" s="284" t="s">
        <v>250</v>
      </c>
      <c r="B13" s="224">
        <v>41</v>
      </c>
      <c r="C13" s="225">
        <f>5+1+8+5+3+2+5</f>
        <v>29</v>
      </c>
      <c r="D13" s="224">
        <v>30</v>
      </c>
      <c r="E13" s="225">
        <f>11+15+2+2+5+2</f>
        <v>37</v>
      </c>
      <c r="F13" s="224">
        <v>30</v>
      </c>
      <c r="G13" s="225">
        <f>12+21</f>
        <v>33</v>
      </c>
      <c r="H13" s="224">
        <v>5</v>
      </c>
      <c r="I13" s="225">
        <f>1+3+2+2</f>
        <v>8</v>
      </c>
      <c r="J13" s="224">
        <v>14</v>
      </c>
      <c r="K13" s="225">
        <f>9+4+3+3+13+1+1</f>
        <v>34</v>
      </c>
      <c r="L13" s="224">
        <v>4</v>
      </c>
      <c r="M13" s="225">
        <f>1</f>
        <v>1</v>
      </c>
      <c r="N13" s="228">
        <v>62.301450000000003</v>
      </c>
      <c r="O13" s="281">
        <v>70.65325</v>
      </c>
      <c r="P13" s="220">
        <f t="shared" si="1"/>
        <v>124</v>
      </c>
      <c r="Q13" s="225">
        <f t="shared" si="2"/>
        <v>142</v>
      </c>
    </row>
    <row r="14" spans="1:17" ht="26.25" customHeight="1" x14ac:dyDescent="0.2">
      <c r="A14" s="284" t="s">
        <v>251</v>
      </c>
      <c r="B14" s="224">
        <v>32</v>
      </c>
      <c r="C14" s="225">
        <f>4+2+2+5+1+2+2+8+3+3</f>
        <v>32</v>
      </c>
      <c r="D14" s="224">
        <v>26</v>
      </c>
      <c r="E14" s="225">
        <f>4+4+5+2+2+5</f>
        <v>22</v>
      </c>
      <c r="F14" s="224">
        <v>29</v>
      </c>
      <c r="G14" s="225">
        <f>9+22+1+1</f>
        <v>33</v>
      </c>
      <c r="H14" s="224">
        <v>5</v>
      </c>
      <c r="I14" s="225">
        <f>1+7+2+1</f>
        <v>11</v>
      </c>
      <c r="J14" s="224">
        <v>15</v>
      </c>
      <c r="K14" s="225">
        <f>1+9+3+6</f>
        <v>19</v>
      </c>
      <c r="L14" s="224">
        <v>3</v>
      </c>
      <c r="M14" s="225">
        <f>2+1+1</f>
        <v>4</v>
      </c>
      <c r="N14" s="228">
        <v>54.532689999999995</v>
      </c>
      <c r="O14" s="281">
        <f>66.41192</f>
        <v>66.411919999999995</v>
      </c>
      <c r="P14" s="220">
        <f t="shared" si="1"/>
        <v>110</v>
      </c>
      <c r="Q14" s="225">
        <f t="shared" si="2"/>
        <v>121</v>
      </c>
    </row>
    <row r="15" spans="1:17" ht="26.25" customHeight="1" x14ac:dyDescent="0.2">
      <c r="A15" s="284" t="s">
        <v>252</v>
      </c>
      <c r="B15" s="224">
        <v>16</v>
      </c>
      <c r="C15" s="225">
        <f>4+1+4+2+2+3+1</f>
        <v>17</v>
      </c>
      <c r="D15" s="224">
        <v>17</v>
      </c>
      <c r="E15" s="225">
        <f>6+11+1+2</f>
        <v>20</v>
      </c>
      <c r="F15" s="224">
        <v>24</v>
      </c>
      <c r="G15" s="225">
        <f>4+18</f>
        <v>22</v>
      </c>
      <c r="H15" s="224">
        <v>7</v>
      </c>
      <c r="I15" s="225">
        <f>1+5+1</f>
        <v>7</v>
      </c>
      <c r="J15" s="224">
        <v>12</v>
      </c>
      <c r="K15" s="225">
        <f>6+2</f>
        <v>8</v>
      </c>
      <c r="L15" s="224">
        <v>1</v>
      </c>
      <c r="M15" s="225"/>
      <c r="N15" s="228">
        <v>40.564309999999999</v>
      </c>
      <c r="O15" s="281">
        <v>43.501089999999998</v>
      </c>
      <c r="P15" s="220">
        <f t="shared" si="1"/>
        <v>77</v>
      </c>
      <c r="Q15" s="225">
        <f t="shared" si="2"/>
        <v>74</v>
      </c>
    </row>
    <row r="16" spans="1:17" ht="26.25" customHeight="1" x14ac:dyDescent="0.2">
      <c r="A16" s="130" t="s">
        <v>170</v>
      </c>
      <c r="B16" s="229">
        <f t="shared" ref="B16:Q16" si="3">SUM(B4:B15)</f>
        <v>286</v>
      </c>
      <c r="C16" s="106">
        <f t="shared" si="3"/>
        <v>264</v>
      </c>
      <c r="D16" s="229">
        <f t="shared" si="3"/>
        <v>313</v>
      </c>
      <c r="E16" s="106">
        <f t="shared" si="3"/>
        <v>292</v>
      </c>
      <c r="F16" s="229">
        <f t="shared" si="3"/>
        <v>324</v>
      </c>
      <c r="G16" s="106">
        <f t="shared" si="3"/>
        <v>369</v>
      </c>
      <c r="H16" s="229">
        <f t="shared" si="3"/>
        <v>73</v>
      </c>
      <c r="I16" s="106">
        <f t="shared" si="3"/>
        <v>75</v>
      </c>
      <c r="J16" s="229">
        <f t="shared" si="3"/>
        <v>151</v>
      </c>
      <c r="K16" s="106">
        <f t="shared" si="3"/>
        <v>193</v>
      </c>
      <c r="L16" s="229">
        <f t="shared" si="3"/>
        <v>22</v>
      </c>
      <c r="M16" s="106">
        <f t="shared" si="3"/>
        <v>20</v>
      </c>
      <c r="N16" s="282">
        <f t="shared" si="3"/>
        <v>598.04091999999991</v>
      </c>
      <c r="O16" s="283">
        <f t="shared" si="3"/>
        <v>637.2586</v>
      </c>
      <c r="P16" s="229">
        <f t="shared" si="3"/>
        <v>1169</v>
      </c>
      <c r="Q16" s="106">
        <f t="shared" si="3"/>
        <v>1213</v>
      </c>
    </row>
  </sheetData>
  <mergeCells count="10">
    <mergeCell ref="A1:A3"/>
    <mergeCell ref="B1:M1"/>
    <mergeCell ref="N1:O2"/>
    <mergeCell ref="P1:Q2"/>
    <mergeCell ref="B2:C2"/>
    <mergeCell ref="D2:E2"/>
    <mergeCell ref="F2:G2"/>
    <mergeCell ref="H2:I2"/>
    <mergeCell ref="J2:K2"/>
    <mergeCell ref="L2:M2"/>
  </mergeCells>
  <conditionalFormatting sqref="R1:JD65540 B2:M65540 A1:A65540 N3:Q65540">
    <cfRule type="cellIs" dxfId="38" priority="12" stopIfTrue="1" operator="equal">
      <formula>0</formula>
    </cfRule>
  </conditionalFormatting>
  <conditionalFormatting sqref="B9:Q15">
    <cfRule type="cellIs" dxfId="37" priority="11" stopIfTrue="1" operator="equal">
      <formula>0</formula>
    </cfRule>
  </conditionalFormatting>
  <conditionalFormatting sqref="B9:B15">
    <cfRule type="cellIs" dxfId="36" priority="10" stopIfTrue="1" operator="equal">
      <formula>0</formula>
    </cfRule>
  </conditionalFormatting>
  <conditionalFormatting sqref="D9:D15">
    <cfRule type="cellIs" dxfId="35" priority="9" stopIfTrue="1" operator="equal">
      <formula>0</formula>
    </cfRule>
  </conditionalFormatting>
  <conditionalFormatting sqref="F9:F15">
    <cfRule type="cellIs" dxfId="34" priority="8" stopIfTrue="1" operator="equal">
      <formula>0</formula>
    </cfRule>
  </conditionalFormatting>
  <conditionalFormatting sqref="H9:H15">
    <cfRule type="cellIs" dxfId="33" priority="7" stopIfTrue="1" operator="equal">
      <formula>0</formula>
    </cfRule>
  </conditionalFormatting>
  <conditionalFormatting sqref="J9:J15">
    <cfRule type="cellIs" dxfId="32" priority="6" stopIfTrue="1" operator="equal">
      <formula>0</formula>
    </cfRule>
  </conditionalFormatting>
  <conditionalFormatting sqref="L9:L15">
    <cfRule type="cellIs" dxfId="31" priority="5" stopIfTrue="1" operator="equal">
      <formula>0</formula>
    </cfRule>
  </conditionalFormatting>
  <conditionalFormatting sqref="N9:N15">
    <cfRule type="cellIs" dxfId="30" priority="4" stopIfTrue="1" operator="equal">
      <formula>0</formula>
    </cfRule>
  </conditionalFormatting>
  <conditionalFormatting sqref="N9:N15">
    <cfRule type="cellIs" dxfId="29" priority="3" stopIfTrue="1" operator="equal">
      <formula>0</formula>
    </cfRule>
  </conditionalFormatting>
  <conditionalFormatting sqref="J4:J15">
    <cfRule type="cellIs" dxfId="28" priority="2" stopIfTrue="1" operator="equal">
      <formula>0</formula>
    </cfRule>
  </conditionalFormatting>
  <conditionalFormatting sqref="J9:J15">
    <cfRule type="cellIs" dxfId="27" priority="1" stopIfTrue="1" operator="equal">
      <formula>0</formula>
    </cfRule>
  </conditionalFormatting>
  <printOptions horizontalCentered="1"/>
  <pageMargins left="0" right="0" top="1.3779527559055118" bottom="0.98425196850393704" header="0.51181102362204722" footer="0.51181102362204722"/>
  <pageSetup paperSize="9" orientation="landscape" r:id="rId1"/>
  <headerFooter alignWithMargins="0">
    <oddHeader>&amp;CEgynapos Sebészeti ellátás teljesítménye 2016.év&amp;R3.sz. melléklet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zoomScaleNormal="100" workbookViewId="0">
      <selection activeCell="I1" sqref="I1"/>
    </sheetView>
  </sheetViews>
  <sheetFormatPr defaultRowHeight="27" customHeight="1" x14ac:dyDescent="0.2"/>
  <cols>
    <col min="1" max="8" width="13.7109375" style="172" customWidth="1"/>
    <col min="9" max="256" width="9.140625" style="172"/>
    <col min="257" max="264" width="13.7109375" style="172" customWidth="1"/>
    <col min="265" max="512" width="9.140625" style="172"/>
    <col min="513" max="520" width="13.7109375" style="172" customWidth="1"/>
    <col min="521" max="768" width="9.140625" style="172"/>
    <col min="769" max="776" width="13.7109375" style="172" customWidth="1"/>
    <col min="777" max="1024" width="9.140625" style="172"/>
    <col min="1025" max="1032" width="13.7109375" style="172" customWidth="1"/>
    <col min="1033" max="1280" width="9.140625" style="172"/>
    <col min="1281" max="1288" width="13.7109375" style="172" customWidth="1"/>
    <col min="1289" max="1536" width="9.140625" style="172"/>
    <col min="1537" max="1544" width="13.7109375" style="172" customWidth="1"/>
    <col min="1545" max="1792" width="9.140625" style="172"/>
    <col min="1793" max="1800" width="13.7109375" style="172" customWidth="1"/>
    <col min="1801" max="2048" width="9.140625" style="172"/>
    <col min="2049" max="2056" width="13.7109375" style="172" customWidth="1"/>
    <col min="2057" max="2304" width="9.140625" style="172"/>
    <col min="2305" max="2312" width="13.7109375" style="172" customWidth="1"/>
    <col min="2313" max="2560" width="9.140625" style="172"/>
    <col min="2561" max="2568" width="13.7109375" style="172" customWidth="1"/>
    <col min="2569" max="2816" width="9.140625" style="172"/>
    <col min="2817" max="2824" width="13.7109375" style="172" customWidth="1"/>
    <col min="2825" max="3072" width="9.140625" style="172"/>
    <col min="3073" max="3080" width="13.7109375" style="172" customWidth="1"/>
    <col min="3081" max="3328" width="9.140625" style="172"/>
    <col min="3329" max="3336" width="13.7109375" style="172" customWidth="1"/>
    <col min="3337" max="3584" width="9.140625" style="172"/>
    <col min="3585" max="3592" width="13.7109375" style="172" customWidth="1"/>
    <col min="3593" max="3840" width="9.140625" style="172"/>
    <col min="3841" max="3848" width="13.7109375" style="172" customWidth="1"/>
    <col min="3849" max="4096" width="9.140625" style="172"/>
    <col min="4097" max="4104" width="13.7109375" style="172" customWidth="1"/>
    <col min="4105" max="4352" width="9.140625" style="172"/>
    <col min="4353" max="4360" width="13.7109375" style="172" customWidth="1"/>
    <col min="4361" max="4608" width="9.140625" style="172"/>
    <col min="4609" max="4616" width="13.7109375" style="172" customWidth="1"/>
    <col min="4617" max="4864" width="9.140625" style="172"/>
    <col min="4865" max="4872" width="13.7109375" style="172" customWidth="1"/>
    <col min="4873" max="5120" width="9.140625" style="172"/>
    <col min="5121" max="5128" width="13.7109375" style="172" customWidth="1"/>
    <col min="5129" max="5376" width="9.140625" style="172"/>
    <col min="5377" max="5384" width="13.7109375" style="172" customWidth="1"/>
    <col min="5385" max="5632" width="9.140625" style="172"/>
    <col min="5633" max="5640" width="13.7109375" style="172" customWidth="1"/>
    <col min="5641" max="5888" width="9.140625" style="172"/>
    <col min="5889" max="5896" width="13.7109375" style="172" customWidth="1"/>
    <col min="5897" max="6144" width="9.140625" style="172"/>
    <col min="6145" max="6152" width="13.7109375" style="172" customWidth="1"/>
    <col min="6153" max="6400" width="9.140625" style="172"/>
    <col min="6401" max="6408" width="13.7109375" style="172" customWidth="1"/>
    <col min="6409" max="6656" width="9.140625" style="172"/>
    <col min="6657" max="6664" width="13.7109375" style="172" customWidth="1"/>
    <col min="6665" max="6912" width="9.140625" style="172"/>
    <col min="6913" max="6920" width="13.7109375" style="172" customWidth="1"/>
    <col min="6921" max="7168" width="9.140625" style="172"/>
    <col min="7169" max="7176" width="13.7109375" style="172" customWidth="1"/>
    <col min="7177" max="7424" width="9.140625" style="172"/>
    <col min="7425" max="7432" width="13.7109375" style="172" customWidth="1"/>
    <col min="7433" max="7680" width="9.140625" style="172"/>
    <col min="7681" max="7688" width="13.7109375" style="172" customWidth="1"/>
    <col min="7689" max="7936" width="9.140625" style="172"/>
    <col min="7937" max="7944" width="13.7109375" style="172" customWidth="1"/>
    <col min="7945" max="8192" width="9.140625" style="172"/>
    <col min="8193" max="8200" width="13.7109375" style="172" customWidth="1"/>
    <col min="8201" max="8448" width="9.140625" style="172"/>
    <col min="8449" max="8456" width="13.7109375" style="172" customWidth="1"/>
    <col min="8457" max="8704" width="9.140625" style="172"/>
    <col min="8705" max="8712" width="13.7109375" style="172" customWidth="1"/>
    <col min="8713" max="8960" width="9.140625" style="172"/>
    <col min="8961" max="8968" width="13.7109375" style="172" customWidth="1"/>
    <col min="8969" max="9216" width="9.140625" style="172"/>
    <col min="9217" max="9224" width="13.7109375" style="172" customWidth="1"/>
    <col min="9225" max="9472" width="9.140625" style="172"/>
    <col min="9473" max="9480" width="13.7109375" style="172" customWidth="1"/>
    <col min="9481" max="9728" width="9.140625" style="172"/>
    <col min="9729" max="9736" width="13.7109375" style="172" customWidth="1"/>
    <col min="9737" max="9984" width="9.140625" style="172"/>
    <col min="9985" max="9992" width="13.7109375" style="172" customWidth="1"/>
    <col min="9993" max="10240" width="9.140625" style="172"/>
    <col min="10241" max="10248" width="13.7109375" style="172" customWidth="1"/>
    <col min="10249" max="10496" width="9.140625" style="172"/>
    <col min="10497" max="10504" width="13.7109375" style="172" customWidth="1"/>
    <col min="10505" max="10752" width="9.140625" style="172"/>
    <col min="10753" max="10760" width="13.7109375" style="172" customWidth="1"/>
    <col min="10761" max="11008" width="9.140625" style="172"/>
    <col min="11009" max="11016" width="13.7109375" style="172" customWidth="1"/>
    <col min="11017" max="11264" width="9.140625" style="172"/>
    <col min="11265" max="11272" width="13.7109375" style="172" customWidth="1"/>
    <col min="11273" max="11520" width="9.140625" style="172"/>
    <col min="11521" max="11528" width="13.7109375" style="172" customWidth="1"/>
    <col min="11529" max="11776" width="9.140625" style="172"/>
    <col min="11777" max="11784" width="13.7109375" style="172" customWidth="1"/>
    <col min="11785" max="12032" width="9.140625" style="172"/>
    <col min="12033" max="12040" width="13.7109375" style="172" customWidth="1"/>
    <col min="12041" max="12288" width="9.140625" style="172"/>
    <col min="12289" max="12296" width="13.7109375" style="172" customWidth="1"/>
    <col min="12297" max="12544" width="9.140625" style="172"/>
    <col min="12545" max="12552" width="13.7109375" style="172" customWidth="1"/>
    <col min="12553" max="12800" width="9.140625" style="172"/>
    <col min="12801" max="12808" width="13.7109375" style="172" customWidth="1"/>
    <col min="12809" max="13056" width="9.140625" style="172"/>
    <col min="13057" max="13064" width="13.7109375" style="172" customWidth="1"/>
    <col min="13065" max="13312" width="9.140625" style="172"/>
    <col min="13313" max="13320" width="13.7109375" style="172" customWidth="1"/>
    <col min="13321" max="13568" width="9.140625" style="172"/>
    <col min="13569" max="13576" width="13.7109375" style="172" customWidth="1"/>
    <col min="13577" max="13824" width="9.140625" style="172"/>
    <col min="13825" max="13832" width="13.7109375" style="172" customWidth="1"/>
    <col min="13833" max="14080" width="9.140625" style="172"/>
    <col min="14081" max="14088" width="13.7109375" style="172" customWidth="1"/>
    <col min="14089" max="14336" width="9.140625" style="172"/>
    <col min="14337" max="14344" width="13.7109375" style="172" customWidth="1"/>
    <col min="14345" max="14592" width="9.140625" style="172"/>
    <col min="14593" max="14600" width="13.7109375" style="172" customWidth="1"/>
    <col min="14601" max="14848" width="9.140625" style="172"/>
    <col min="14849" max="14856" width="13.7109375" style="172" customWidth="1"/>
    <col min="14857" max="15104" width="9.140625" style="172"/>
    <col min="15105" max="15112" width="13.7109375" style="172" customWidth="1"/>
    <col min="15113" max="15360" width="9.140625" style="172"/>
    <col min="15361" max="15368" width="13.7109375" style="172" customWidth="1"/>
    <col min="15369" max="15616" width="9.140625" style="172"/>
    <col min="15617" max="15624" width="13.7109375" style="172" customWidth="1"/>
    <col min="15625" max="15872" width="9.140625" style="172"/>
    <col min="15873" max="15880" width="13.7109375" style="172" customWidth="1"/>
    <col min="15881" max="16128" width="9.140625" style="172"/>
    <col min="16129" max="16136" width="13.7109375" style="172" customWidth="1"/>
    <col min="16137" max="16384" width="9.140625" style="172"/>
  </cols>
  <sheetData>
    <row r="1" spans="1:8" s="230" customFormat="1" ht="27" customHeight="1" x14ac:dyDescent="0.2">
      <c r="A1" s="619"/>
      <c r="B1" s="619" t="s">
        <v>239</v>
      </c>
      <c r="C1" s="619" t="s">
        <v>242</v>
      </c>
      <c r="D1" s="619"/>
      <c r="E1" s="619"/>
      <c r="F1" s="619" t="s">
        <v>240</v>
      </c>
      <c r="G1" s="619" t="s">
        <v>207</v>
      </c>
      <c r="H1" s="619"/>
    </row>
    <row r="2" spans="1:8" s="230" customFormat="1" ht="27" customHeight="1" x14ac:dyDescent="0.2">
      <c r="A2" s="619"/>
      <c r="B2" s="619"/>
      <c r="C2" s="1" t="s">
        <v>208</v>
      </c>
      <c r="D2" s="1" t="s">
        <v>209</v>
      </c>
      <c r="E2" s="1" t="s">
        <v>170</v>
      </c>
      <c r="F2" s="619"/>
      <c r="G2" s="1" t="s">
        <v>208</v>
      </c>
      <c r="H2" s="1" t="s">
        <v>210</v>
      </c>
    </row>
    <row r="3" spans="1:8" s="230" customFormat="1" ht="27" customHeight="1" x14ac:dyDescent="0.2">
      <c r="A3" s="231" t="s">
        <v>211</v>
      </c>
      <c r="B3" s="19">
        <v>43953446</v>
      </c>
      <c r="C3" s="232">
        <v>43713178</v>
      </c>
      <c r="D3" s="232">
        <v>21440</v>
      </c>
      <c r="E3" s="232">
        <f>SUM(C3:D3)</f>
        <v>43734618</v>
      </c>
      <c r="F3" s="185">
        <v>43734469</v>
      </c>
      <c r="G3" s="185">
        <f>E3-B3</f>
        <v>-218828</v>
      </c>
      <c r="H3" s="185">
        <f>G3</f>
        <v>-218828</v>
      </c>
    </row>
    <row r="4" spans="1:8" s="230" customFormat="1" ht="27" customHeight="1" x14ac:dyDescent="0.2">
      <c r="A4" s="231" t="s">
        <v>212</v>
      </c>
      <c r="B4" s="19">
        <v>35961910</v>
      </c>
      <c r="C4" s="232">
        <v>34406179</v>
      </c>
      <c r="D4" s="232">
        <v>9215</v>
      </c>
      <c r="E4" s="232">
        <f>SUM(C4:D4)</f>
        <v>34415394</v>
      </c>
      <c r="F4" s="70">
        <v>34503755</v>
      </c>
      <c r="G4" s="185">
        <f>E4-B4</f>
        <v>-1546516</v>
      </c>
      <c r="H4" s="185">
        <f t="shared" ref="H4:H16" si="0">G4+H3</f>
        <v>-1765344</v>
      </c>
    </row>
    <row r="5" spans="1:8" ht="27" customHeight="1" x14ac:dyDescent="0.2">
      <c r="A5" s="2" t="s">
        <v>213</v>
      </c>
      <c r="B5" s="19">
        <v>37957678</v>
      </c>
      <c r="C5" s="232">
        <v>39573961</v>
      </c>
      <c r="D5" s="232">
        <v>10143</v>
      </c>
      <c r="E5" s="232">
        <f t="shared" ref="E5:E16" si="1">SUM(C5:D5)</f>
        <v>39584104</v>
      </c>
      <c r="F5" s="70">
        <v>39837172</v>
      </c>
      <c r="G5" s="185">
        <f t="shared" ref="G5:G16" si="2">E5-B5</f>
        <v>1626426</v>
      </c>
      <c r="H5" s="185">
        <f t="shared" si="0"/>
        <v>-138918</v>
      </c>
    </row>
    <row r="6" spans="1:8" ht="27" customHeight="1" x14ac:dyDescent="0.2">
      <c r="A6" s="2" t="s">
        <v>214</v>
      </c>
      <c r="B6" s="19">
        <v>41955562</v>
      </c>
      <c r="C6" s="232">
        <v>42768303</v>
      </c>
      <c r="D6" s="232">
        <v>17145</v>
      </c>
      <c r="E6" s="232">
        <f t="shared" si="1"/>
        <v>42785448</v>
      </c>
      <c r="F6" s="70">
        <v>42874213</v>
      </c>
      <c r="G6" s="185">
        <f>E6-B6</f>
        <v>829886</v>
      </c>
      <c r="H6" s="185">
        <f t="shared" si="0"/>
        <v>690968</v>
      </c>
    </row>
    <row r="7" spans="1:8" ht="27" customHeight="1" x14ac:dyDescent="0.2">
      <c r="A7" s="2" t="s">
        <v>215</v>
      </c>
      <c r="B7" s="19">
        <v>41955562</v>
      </c>
      <c r="C7" s="232">
        <v>39836536</v>
      </c>
      <c r="D7" s="232">
        <v>23223</v>
      </c>
      <c r="E7" s="232">
        <f t="shared" si="1"/>
        <v>39859759</v>
      </c>
      <c r="F7" s="70">
        <v>39966535</v>
      </c>
      <c r="G7" s="185">
        <f>E7-B7</f>
        <v>-2095803</v>
      </c>
      <c r="H7" s="185">
        <f t="shared" si="0"/>
        <v>-1404835</v>
      </c>
    </row>
    <row r="8" spans="1:8" ht="27" customHeight="1" x14ac:dyDescent="0.2">
      <c r="A8" s="2" t="s">
        <v>216</v>
      </c>
      <c r="B8" s="19">
        <v>41955562</v>
      </c>
      <c r="C8" s="232">
        <v>44031264</v>
      </c>
      <c r="D8" s="232">
        <v>9200</v>
      </c>
      <c r="E8" s="232">
        <f t="shared" si="1"/>
        <v>44040464</v>
      </c>
      <c r="F8" s="70">
        <v>44184063</v>
      </c>
      <c r="G8" s="185">
        <f t="shared" si="2"/>
        <v>2084902</v>
      </c>
      <c r="H8" s="185">
        <f t="shared" si="0"/>
        <v>680067</v>
      </c>
    </row>
    <row r="9" spans="1:8" ht="27" customHeight="1" x14ac:dyDescent="0.2">
      <c r="A9" s="2" t="s">
        <v>217</v>
      </c>
      <c r="B9" s="19">
        <v>41955562</v>
      </c>
      <c r="C9" s="232">
        <v>43279621</v>
      </c>
      <c r="D9" s="232">
        <v>4285</v>
      </c>
      <c r="E9" s="232">
        <f t="shared" si="1"/>
        <v>43283906</v>
      </c>
      <c r="F9" s="70">
        <v>43491765</v>
      </c>
      <c r="G9" s="185">
        <f t="shared" si="2"/>
        <v>1328344</v>
      </c>
      <c r="H9" s="185">
        <f t="shared" si="0"/>
        <v>2008411</v>
      </c>
    </row>
    <row r="10" spans="1:8" ht="27" customHeight="1" x14ac:dyDescent="0.2">
      <c r="A10" s="2" t="s">
        <v>218</v>
      </c>
      <c r="B10" s="19">
        <v>42955562</v>
      </c>
      <c r="C10" s="232">
        <v>42056333</v>
      </c>
      <c r="D10" s="232">
        <v>878</v>
      </c>
      <c r="E10" s="232">
        <f t="shared" si="1"/>
        <v>42057211</v>
      </c>
      <c r="F10" s="185">
        <v>42176871</v>
      </c>
      <c r="G10" s="185">
        <f t="shared" si="2"/>
        <v>-898351</v>
      </c>
      <c r="H10" s="185">
        <f t="shared" si="0"/>
        <v>1110060</v>
      </c>
    </row>
    <row r="11" spans="1:8" ht="27" customHeight="1" x14ac:dyDescent="0.2">
      <c r="A11" s="2" t="s">
        <v>219</v>
      </c>
      <c r="B11" s="19">
        <v>32966142</v>
      </c>
      <c r="C11" s="185">
        <v>29066022</v>
      </c>
      <c r="D11" s="185">
        <v>26023</v>
      </c>
      <c r="E11" s="232">
        <f t="shared" si="1"/>
        <v>29092045</v>
      </c>
      <c r="F11" s="185">
        <v>29302364</v>
      </c>
      <c r="G11" s="185">
        <f t="shared" si="2"/>
        <v>-3874097</v>
      </c>
      <c r="H11" s="185">
        <f t="shared" si="0"/>
        <v>-2764037</v>
      </c>
    </row>
    <row r="12" spans="1:8" ht="27" customHeight="1" x14ac:dyDescent="0.2">
      <c r="A12" s="2" t="s">
        <v>220</v>
      </c>
      <c r="B12" s="19">
        <v>29302297</v>
      </c>
      <c r="C12" s="185">
        <v>37291346</v>
      </c>
      <c r="D12" s="185">
        <v>14589</v>
      </c>
      <c r="E12" s="232">
        <f t="shared" si="1"/>
        <v>37305935</v>
      </c>
      <c r="F12" s="185">
        <f>37572418+17665</f>
        <v>37590083</v>
      </c>
      <c r="G12" s="185">
        <f t="shared" si="2"/>
        <v>8003638</v>
      </c>
      <c r="H12" s="185">
        <f t="shared" si="0"/>
        <v>5239601</v>
      </c>
    </row>
    <row r="13" spans="1:8" ht="27" customHeight="1" x14ac:dyDescent="0.2">
      <c r="A13" s="2" t="s">
        <v>221</v>
      </c>
      <c r="B13" s="19">
        <v>40290659</v>
      </c>
      <c r="C13" s="185">
        <v>40929677</v>
      </c>
      <c r="D13" s="185">
        <v>21555</v>
      </c>
      <c r="E13" s="232">
        <f t="shared" si="1"/>
        <v>40951232</v>
      </c>
      <c r="F13" s="185">
        <v>40925288</v>
      </c>
      <c r="G13" s="185">
        <f t="shared" si="2"/>
        <v>660573</v>
      </c>
      <c r="H13" s="185">
        <f t="shared" si="0"/>
        <v>5900174</v>
      </c>
    </row>
    <row r="14" spans="1:8" ht="27" customHeight="1" x14ac:dyDescent="0.2">
      <c r="A14" s="2" t="s">
        <v>222</v>
      </c>
      <c r="B14" s="19">
        <v>38459265</v>
      </c>
      <c r="C14" s="185">
        <v>39928450</v>
      </c>
      <c r="D14" s="185">
        <v>6434</v>
      </c>
      <c r="E14" s="232">
        <f t="shared" si="1"/>
        <v>39934884</v>
      </c>
      <c r="F14" s="185">
        <v>39688268</v>
      </c>
      <c r="G14" s="185">
        <f t="shared" si="2"/>
        <v>1475619</v>
      </c>
      <c r="H14" s="185">
        <f t="shared" si="0"/>
        <v>7375793</v>
      </c>
    </row>
    <row r="15" spans="1:8" ht="27" customHeight="1" x14ac:dyDescent="0.2">
      <c r="A15" s="2" t="s">
        <v>211</v>
      </c>
      <c r="B15" s="185">
        <v>40627871</v>
      </c>
      <c r="C15" s="185">
        <v>44179482</v>
      </c>
      <c r="D15" s="185">
        <v>4995</v>
      </c>
      <c r="E15" s="232">
        <f t="shared" si="1"/>
        <v>44184477</v>
      </c>
      <c r="F15" s="185">
        <v>43502423</v>
      </c>
      <c r="G15" s="185">
        <f t="shared" si="2"/>
        <v>3556606</v>
      </c>
      <c r="H15" s="185">
        <f t="shared" si="0"/>
        <v>10932399</v>
      </c>
    </row>
    <row r="16" spans="1:8" ht="27" customHeight="1" x14ac:dyDescent="0.2">
      <c r="A16" s="2" t="s">
        <v>212</v>
      </c>
      <c r="B16" s="185">
        <v>32627871</v>
      </c>
      <c r="C16" s="185">
        <v>32166054</v>
      </c>
      <c r="D16" s="185">
        <v>24613</v>
      </c>
      <c r="E16" s="232">
        <f t="shared" si="1"/>
        <v>32190667</v>
      </c>
      <c r="F16" s="185">
        <v>31644219</v>
      </c>
      <c r="G16" s="185">
        <f t="shared" si="2"/>
        <v>-437204</v>
      </c>
      <c r="H16" s="185">
        <f t="shared" si="0"/>
        <v>10495195</v>
      </c>
    </row>
    <row r="17" spans="1:8" s="235" customFormat="1" ht="27" customHeight="1" x14ac:dyDescent="0.2">
      <c r="A17" s="233" t="s">
        <v>170</v>
      </c>
      <c r="B17" s="234">
        <f t="shared" ref="B17:G17" si="3">SUM(B3:B16)</f>
        <v>542924949</v>
      </c>
      <c r="C17" s="234">
        <f t="shared" si="3"/>
        <v>553226406</v>
      </c>
      <c r="D17" s="234">
        <f t="shared" si="3"/>
        <v>193738</v>
      </c>
      <c r="E17" s="234">
        <f t="shared" si="3"/>
        <v>553420144</v>
      </c>
      <c r="F17" s="234">
        <f t="shared" si="3"/>
        <v>553421488</v>
      </c>
      <c r="G17" s="234">
        <f t="shared" si="3"/>
        <v>10495195</v>
      </c>
      <c r="H17" s="234"/>
    </row>
    <row r="24" spans="1:8" ht="27" customHeight="1" x14ac:dyDescent="0.2">
      <c r="D24" s="236"/>
    </row>
  </sheetData>
  <mergeCells count="5">
    <mergeCell ref="A1:A2"/>
    <mergeCell ref="B1:B2"/>
    <mergeCell ref="C1:E1"/>
    <mergeCell ref="F1:F2"/>
    <mergeCell ref="G1:H1"/>
  </mergeCells>
  <conditionalFormatting sqref="A1:IV65538">
    <cfRule type="cellIs" dxfId="26" priority="11" stopIfTrue="1" operator="equal">
      <formula>0</formula>
    </cfRule>
  </conditionalFormatting>
  <conditionalFormatting sqref="C3:E4 E5:E10">
    <cfRule type="cellIs" dxfId="25" priority="10" stopIfTrue="1" operator="equal">
      <formula>0</formula>
    </cfRule>
  </conditionalFormatting>
  <conditionalFormatting sqref="C3:D4">
    <cfRule type="cellIs" dxfId="24" priority="9" stopIfTrue="1" operator="equal">
      <formula>0</formula>
    </cfRule>
  </conditionalFormatting>
  <conditionalFormatting sqref="F3">
    <cfRule type="cellIs" dxfId="23" priority="8" stopIfTrue="1" operator="equal">
      <formula>0</formula>
    </cfRule>
  </conditionalFormatting>
  <conditionalFormatting sqref="F4">
    <cfRule type="cellIs" dxfId="22" priority="7" stopIfTrue="1" operator="equal">
      <formula>0</formula>
    </cfRule>
  </conditionalFormatting>
  <conditionalFormatting sqref="F5">
    <cfRule type="cellIs" dxfId="21" priority="6" stopIfTrue="1" operator="equal">
      <formula>0</formula>
    </cfRule>
  </conditionalFormatting>
  <conditionalFormatting sqref="F6">
    <cfRule type="cellIs" dxfId="20" priority="5" stopIfTrue="1" operator="equal">
      <formula>0</formula>
    </cfRule>
  </conditionalFormatting>
  <conditionalFormatting sqref="F7">
    <cfRule type="cellIs" dxfId="19" priority="4" stopIfTrue="1" operator="equal">
      <formula>0</formula>
    </cfRule>
  </conditionalFormatting>
  <conditionalFormatting sqref="F8">
    <cfRule type="cellIs" dxfId="18" priority="3" stopIfTrue="1" operator="equal">
      <formula>0</formula>
    </cfRule>
  </conditionalFormatting>
  <conditionalFormatting sqref="F9">
    <cfRule type="cellIs" dxfId="17" priority="2" stopIfTrue="1" operator="equal">
      <formula>0</formula>
    </cfRule>
  </conditionalFormatting>
  <conditionalFormatting sqref="C5:E10 E11:E16">
    <cfRule type="cellIs" dxfId="16" priority="1" stopIfTrue="1" operator="equal">
      <formula>0</formula>
    </cfRule>
  </conditionalFormatting>
  <printOptions horizontalCentered="1" vertic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Header>&amp;C&amp;"Arial CE,Félkövér"&amp;12Az OEP által előírt teljesítmény volumen korlát (TVK) teljesítése 2016. évben&amp;R4. sz.melléklet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8"/>
  <sheetViews>
    <sheetView zoomScale="80" zoomScaleNormal="80" workbookViewId="0">
      <selection activeCell="O1" sqref="O1"/>
    </sheetView>
  </sheetViews>
  <sheetFormatPr defaultRowHeight="21" customHeight="1" x14ac:dyDescent="0.2"/>
  <cols>
    <col min="1" max="1" width="3.140625" style="3" customWidth="1"/>
    <col min="2" max="2" width="38.140625" style="8" customWidth="1"/>
    <col min="3" max="5" width="9.5703125" style="8" customWidth="1"/>
    <col min="6" max="8" width="9.7109375" style="8" customWidth="1"/>
    <col min="9" max="11" width="9.7109375" style="83" customWidth="1"/>
    <col min="12" max="14" width="8.85546875" style="8" customWidth="1"/>
    <col min="15" max="16384" width="9.140625" style="8"/>
  </cols>
  <sheetData>
    <row r="1" spans="1:14" s="3" customFormat="1" ht="41.25" customHeight="1" x14ac:dyDescent="0.2">
      <c r="A1" s="620" t="s">
        <v>0</v>
      </c>
      <c r="B1" s="621"/>
      <c r="C1" s="626" t="s">
        <v>253</v>
      </c>
      <c r="D1" s="625"/>
      <c r="E1" s="627"/>
      <c r="F1" s="624" t="s">
        <v>122</v>
      </c>
      <c r="G1" s="616"/>
      <c r="H1" s="617"/>
      <c r="I1" s="625" t="s">
        <v>254</v>
      </c>
      <c r="J1" s="625"/>
      <c r="K1" s="625"/>
      <c r="L1" s="624" t="s">
        <v>255</v>
      </c>
      <c r="M1" s="616"/>
      <c r="N1" s="617"/>
    </row>
    <row r="2" spans="1:14" ht="21" customHeight="1" x14ac:dyDescent="0.2">
      <c r="A2" s="622"/>
      <c r="B2" s="623"/>
      <c r="C2" s="275" t="s">
        <v>1</v>
      </c>
      <c r="D2" s="93" t="s">
        <v>2</v>
      </c>
      <c r="E2" s="274" t="s">
        <v>104</v>
      </c>
      <c r="F2" s="5" t="s">
        <v>1</v>
      </c>
      <c r="G2" s="6" t="s">
        <v>2</v>
      </c>
      <c r="H2" s="7" t="s">
        <v>104</v>
      </c>
      <c r="I2" s="106" t="s">
        <v>1</v>
      </c>
      <c r="J2" s="93" t="s">
        <v>2</v>
      </c>
      <c r="K2" s="7" t="s">
        <v>104</v>
      </c>
      <c r="L2" s="5" t="s">
        <v>1</v>
      </c>
      <c r="M2" s="6" t="s">
        <v>2</v>
      </c>
      <c r="N2" s="7" t="s">
        <v>104</v>
      </c>
    </row>
    <row r="3" spans="1:14" ht="21" customHeight="1" x14ac:dyDescent="0.2">
      <c r="A3" s="4">
        <v>1</v>
      </c>
      <c r="B3" s="9" t="s">
        <v>4</v>
      </c>
      <c r="C3" s="118">
        <f>SUM(C4:C18)</f>
        <v>1460847</v>
      </c>
      <c r="D3" s="11">
        <f>SUM(D4:D18)</f>
        <v>30094</v>
      </c>
      <c r="E3" s="12">
        <f t="shared" ref="E3:E23" si="0">SUM(C3:D3)</f>
        <v>1490941</v>
      </c>
      <c r="F3" s="118">
        <f>SUM(F4:F18)</f>
        <v>1486500</v>
      </c>
      <c r="G3" s="11">
        <f>SUM(G4:G18)</f>
        <v>41500</v>
      </c>
      <c r="H3" s="12">
        <f t="shared" ref="H3:H24" si="1">SUM(F3:G3)</f>
        <v>1528000</v>
      </c>
      <c r="I3" s="60">
        <f>SUM(I4:I18)</f>
        <v>1559343</v>
      </c>
      <c r="J3" s="61">
        <f>SUM(J4:J18)</f>
        <v>38987</v>
      </c>
      <c r="K3" s="14">
        <f t="shared" ref="K3:K24" si="2">SUM(I3:J3)</f>
        <v>1598330</v>
      </c>
      <c r="L3" s="15">
        <f t="shared" ref="L3:N7" si="3">I3/F3</f>
        <v>1.0490030272452069</v>
      </c>
      <c r="M3" s="16">
        <f t="shared" si="3"/>
        <v>0.93944578313253013</v>
      </c>
      <c r="N3" s="17">
        <f t="shared" si="3"/>
        <v>1.0460274869109947</v>
      </c>
    </row>
    <row r="4" spans="1:14" ht="21" customHeight="1" x14ac:dyDescent="0.2">
      <c r="A4" s="4"/>
      <c r="B4" s="18" t="s">
        <v>5</v>
      </c>
      <c r="C4" s="276">
        <v>724262</v>
      </c>
      <c r="D4" s="19">
        <v>5037</v>
      </c>
      <c r="E4" s="20">
        <f t="shared" si="0"/>
        <v>729299</v>
      </c>
      <c r="F4" s="124">
        <v>745000</v>
      </c>
      <c r="G4" s="125">
        <v>8000</v>
      </c>
      <c r="H4" s="20">
        <f t="shared" si="1"/>
        <v>753000</v>
      </c>
      <c r="I4" s="77">
        <v>761420</v>
      </c>
      <c r="J4" s="70">
        <v>5234</v>
      </c>
      <c r="K4" s="107">
        <f t="shared" si="2"/>
        <v>766654</v>
      </c>
      <c r="L4" s="21">
        <f t="shared" si="3"/>
        <v>1.0220402684563759</v>
      </c>
      <c r="M4" s="22">
        <f t="shared" si="3"/>
        <v>0.65425</v>
      </c>
      <c r="N4" s="23">
        <f t="shared" si="3"/>
        <v>1.0181328021248339</v>
      </c>
    </row>
    <row r="5" spans="1:14" ht="21" customHeight="1" x14ac:dyDescent="0.2">
      <c r="A5" s="4"/>
      <c r="B5" s="18" t="s">
        <v>43</v>
      </c>
      <c r="C5" s="276">
        <v>87085</v>
      </c>
      <c r="D5" s="19">
        <v>1151</v>
      </c>
      <c r="E5" s="20">
        <f t="shared" si="0"/>
        <v>88236</v>
      </c>
      <c r="F5" s="124">
        <v>90000</v>
      </c>
      <c r="G5" s="125">
        <v>1500</v>
      </c>
      <c r="H5" s="20">
        <f t="shared" si="1"/>
        <v>91500</v>
      </c>
      <c r="I5" s="77">
        <v>100766</v>
      </c>
      <c r="J5" s="70">
        <v>1720</v>
      </c>
      <c r="K5" s="107">
        <f t="shared" si="2"/>
        <v>102486</v>
      </c>
      <c r="L5" s="21">
        <f>I5/F5</f>
        <v>1.1196222222222223</v>
      </c>
      <c r="M5" s="22">
        <f>J5/G5</f>
        <v>1.1466666666666667</v>
      </c>
      <c r="N5" s="23">
        <f>K5/H5</f>
        <v>1.1200655737704919</v>
      </c>
    </row>
    <row r="6" spans="1:14" ht="21" customHeight="1" x14ac:dyDescent="0.2">
      <c r="A6" s="4"/>
      <c r="B6" s="18" t="s">
        <v>97</v>
      </c>
      <c r="C6" s="276"/>
      <c r="D6" s="19">
        <v>25</v>
      </c>
      <c r="E6" s="20">
        <f t="shared" si="0"/>
        <v>25</v>
      </c>
      <c r="F6" s="124"/>
      <c r="G6" s="125"/>
      <c r="H6" s="20">
        <f t="shared" si="1"/>
        <v>0</v>
      </c>
      <c r="I6" s="77"/>
      <c r="J6" s="70">
        <v>43</v>
      </c>
      <c r="K6" s="107">
        <f t="shared" si="2"/>
        <v>43</v>
      </c>
      <c r="L6" s="21"/>
      <c r="M6" s="22"/>
      <c r="N6" s="23"/>
    </row>
    <row r="7" spans="1:14" ht="21" customHeight="1" x14ac:dyDescent="0.2">
      <c r="A7" s="4"/>
      <c r="B7" s="18" t="s">
        <v>42</v>
      </c>
      <c r="C7" s="276">
        <v>151303</v>
      </c>
      <c r="D7" s="19">
        <v>528</v>
      </c>
      <c r="E7" s="20">
        <f t="shared" si="0"/>
        <v>151831</v>
      </c>
      <c r="F7" s="124">
        <v>158000</v>
      </c>
      <c r="G7" s="125">
        <v>2000</v>
      </c>
      <c r="H7" s="20">
        <f t="shared" si="1"/>
        <v>160000</v>
      </c>
      <c r="I7" s="77">
        <v>157626</v>
      </c>
      <c r="J7" s="70">
        <v>509</v>
      </c>
      <c r="K7" s="107">
        <f t="shared" si="2"/>
        <v>158135</v>
      </c>
      <c r="L7" s="21">
        <f t="shared" si="3"/>
        <v>0.99763291139240506</v>
      </c>
      <c r="M7" s="22">
        <f t="shared" si="3"/>
        <v>0.2545</v>
      </c>
      <c r="N7" s="23">
        <f t="shared" si="3"/>
        <v>0.98834374999999997</v>
      </c>
    </row>
    <row r="8" spans="1:14" ht="21" customHeight="1" x14ac:dyDescent="0.2">
      <c r="A8" s="4"/>
      <c r="B8" s="18" t="s">
        <v>6</v>
      </c>
      <c r="C8" s="276">
        <v>71586</v>
      </c>
      <c r="D8" s="19"/>
      <c r="E8" s="20">
        <f t="shared" si="0"/>
        <v>71586</v>
      </c>
      <c r="F8" s="124">
        <v>70000</v>
      </c>
      <c r="G8" s="125"/>
      <c r="H8" s="20">
        <f t="shared" si="1"/>
        <v>70000</v>
      </c>
      <c r="I8" s="77">
        <v>71579</v>
      </c>
      <c r="J8" s="70"/>
      <c r="K8" s="107">
        <f t="shared" si="2"/>
        <v>71579</v>
      </c>
      <c r="L8" s="21">
        <f t="shared" ref="L8:L14" si="4">I8/F8</f>
        <v>1.0225571428571429</v>
      </c>
      <c r="M8" s="22"/>
      <c r="N8" s="23">
        <f t="shared" ref="N8:N26" si="5">K8/H8</f>
        <v>1.0225571428571429</v>
      </c>
    </row>
    <row r="9" spans="1:14" ht="21" customHeight="1" x14ac:dyDescent="0.2">
      <c r="A9" s="4"/>
      <c r="B9" s="18" t="s">
        <v>7</v>
      </c>
      <c r="C9" s="276">
        <v>18056</v>
      </c>
      <c r="D9" s="19">
        <v>3</v>
      </c>
      <c r="E9" s="20">
        <f t="shared" si="0"/>
        <v>18059</v>
      </c>
      <c r="F9" s="124">
        <v>19000</v>
      </c>
      <c r="G9" s="125"/>
      <c r="H9" s="20">
        <f t="shared" si="1"/>
        <v>19000</v>
      </c>
      <c r="I9" s="77">
        <v>16819</v>
      </c>
      <c r="J9" s="70"/>
      <c r="K9" s="107">
        <f t="shared" si="2"/>
        <v>16819</v>
      </c>
      <c r="L9" s="21">
        <f t="shared" si="4"/>
        <v>0.88521052631578945</v>
      </c>
      <c r="M9" s="22"/>
      <c r="N9" s="23">
        <f t="shared" si="5"/>
        <v>0.88521052631578945</v>
      </c>
    </row>
    <row r="10" spans="1:14" ht="21" customHeight="1" x14ac:dyDescent="0.2">
      <c r="A10" s="4"/>
      <c r="B10" s="18" t="s">
        <v>105</v>
      </c>
      <c r="C10" s="276">
        <v>5223</v>
      </c>
      <c r="D10" s="19"/>
      <c r="E10" s="20">
        <f t="shared" si="0"/>
        <v>5223</v>
      </c>
      <c r="F10" s="124">
        <v>5500</v>
      </c>
      <c r="G10" s="125"/>
      <c r="H10" s="20">
        <f t="shared" si="1"/>
        <v>5500</v>
      </c>
      <c r="I10" s="77">
        <v>5734</v>
      </c>
      <c r="J10" s="70"/>
      <c r="K10" s="107">
        <f t="shared" si="2"/>
        <v>5734</v>
      </c>
      <c r="L10" s="21">
        <f t="shared" si="4"/>
        <v>1.0425454545454544</v>
      </c>
      <c r="M10" s="22"/>
      <c r="N10" s="23">
        <f t="shared" si="5"/>
        <v>1.0425454545454544</v>
      </c>
    </row>
    <row r="11" spans="1:14" ht="21" customHeight="1" x14ac:dyDescent="0.2">
      <c r="A11" s="127"/>
      <c r="B11" s="18" t="s">
        <v>130</v>
      </c>
      <c r="C11" s="276">
        <v>4590</v>
      </c>
      <c r="D11" s="19"/>
      <c r="E11" s="20"/>
      <c r="F11" s="124"/>
      <c r="G11" s="125"/>
      <c r="H11" s="20"/>
      <c r="I11" s="77">
        <v>7214</v>
      </c>
      <c r="J11" s="70"/>
      <c r="K11" s="107">
        <f t="shared" si="2"/>
        <v>7214</v>
      </c>
      <c r="L11" s="21"/>
      <c r="M11" s="22"/>
      <c r="N11" s="23"/>
    </row>
    <row r="12" spans="1:14" ht="21" customHeight="1" x14ac:dyDescent="0.2">
      <c r="A12" s="4"/>
      <c r="B12" s="18" t="s">
        <v>8</v>
      </c>
      <c r="C12" s="276">
        <v>9129</v>
      </c>
      <c r="D12" s="19"/>
      <c r="E12" s="20">
        <f t="shared" si="0"/>
        <v>9129</v>
      </c>
      <c r="F12" s="124">
        <v>10000</v>
      </c>
      <c r="G12" s="125"/>
      <c r="H12" s="20">
        <f t="shared" si="1"/>
        <v>10000</v>
      </c>
      <c r="I12" s="77">
        <v>7087</v>
      </c>
      <c r="J12" s="70"/>
      <c r="K12" s="107">
        <f t="shared" si="2"/>
        <v>7087</v>
      </c>
      <c r="L12" s="21">
        <f t="shared" si="4"/>
        <v>0.7087</v>
      </c>
      <c r="M12" s="22"/>
      <c r="N12" s="23">
        <f t="shared" si="5"/>
        <v>0.7087</v>
      </c>
    </row>
    <row r="13" spans="1:14" ht="21" customHeight="1" x14ac:dyDescent="0.2">
      <c r="A13" s="4"/>
      <c r="B13" s="18" t="s">
        <v>9</v>
      </c>
      <c r="C13" s="276">
        <v>195897</v>
      </c>
      <c r="D13" s="19"/>
      <c r="E13" s="20">
        <f t="shared" si="0"/>
        <v>195897</v>
      </c>
      <c r="F13" s="124">
        <v>193000</v>
      </c>
      <c r="G13" s="125"/>
      <c r="H13" s="20">
        <f t="shared" si="1"/>
        <v>193000</v>
      </c>
      <c r="I13" s="77">
        <v>220334</v>
      </c>
      <c r="J13" s="70"/>
      <c r="K13" s="107">
        <f t="shared" si="2"/>
        <v>220334</v>
      </c>
      <c r="L13" s="21">
        <f t="shared" si="4"/>
        <v>1.1416269430051813</v>
      </c>
      <c r="M13" s="22"/>
      <c r="N13" s="23">
        <f t="shared" si="5"/>
        <v>1.1416269430051813</v>
      </c>
    </row>
    <row r="14" spans="1:14" ht="21" customHeight="1" x14ac:dyDescent="0.2">
      <c r="A14" s="4"/>
      <c r="B14" s="18" t="s">
        <v>10</v>
      </c>
      <c r="C14" s="276">
        <v>36787</v>
      </c>
      <c r="D14" s="19"/>
      <c r="E14" s="20">
        <f t="shared" si="0"/>
        <v>36787</v>
      </c>
      <c r="F14" s="124">
        <v>36000</v>
      </c>
      <c r="G14" s="125"/>
      <c r="H14" s="20">
        <f t="shared" si="1"/>
        <v>36000</v>
      </c>
      <c r="I14" s="77">
        <v>38671</v>
      </c>
      <c r="J14" s="70"/>
      <c r="K14" s="107">
        <f t="shared" si="2"/>
        <v>38671</v>
      </c>
      <c r="L14" s="21">
        <f t="shared" si="4"/>
        <v>1.0741944444444445</v>
      </c>
      <c r="M14" s="22"/>
      <c r="N14" s="23">
        <f t="shared" si="5"/>
        <v>1.0741944444444445</v>
      </c>
    </row>
    <row r="15" spans="1:14" ht="21" customHeight="1" x14ac:dyDescent="0.2">
      <c r="A15" s="4"/>
      <c r="B15" s="18" t="s">
        <v>11</v>
      </c>
      <c r="C15" s="276"/>
      <c r="D15" s="19">
        <v>15762</v>
      </c>
      <c r="E15" s="20">
        <f t="shared" si="0"/>
        <v>15762</v>
      </c>
      <c r="F15" s="124"/>
      <c r="G15" s="125">
        <v>19000</v>
      </c>
      <c r="H15" s="20">
        <f t="shared" si="1"/>
        <v>19000</v>
      </c>
      <c r="I15" s="77"/>
      <c r="J15" s="70">
        <v>17600</v>
      </c>
      <c r="K15" s="107">
        <f t="shared" si="2"/>
        <v>17600</v>
      </c>
      <c r="L15" s="21"/>
      <c r="M15" s="22">
        <f t="shared" ref="M15:M24" si="6">J15/G15</f>
        <v>0.9263157894736842</v>
      </c>
      <c r="N15" s="23">
        <f t="shared" si="5"/>
        <v>0.9263157894736842</v>
      </c>
    </row>
    <row r="16" spans="1:14" ht="21" customHeight="1" x14ac:dyDescent="0.2">
      <c r="A16" s="4"/>
      <c r="B16" s="18" t="s">
        <v>89</v>
      </c>
      <c r="C16" s="276"/>
      <c r="D16" s="19">
        <v>7588</v>
      </c>
      <c r="E16" s="20">
        <f t="shared" si="0"/>
        <v>7588</v>
      </c>
      <c r="F16" s="124"/>
      <c r="G16" s="125">
        <v>11000</v>
      </c>
      <c r="H16" s="20">
        <f t="shared" si="1"/>
        <v>11000</v>
      </c>
      <c r="I16" s="77"/>
      <c r="J16" s="70">
        <v>13881</v>
      </c>
      <c r="K16" s="107">
        <f t="shared" si="2"/>
        <v>13881</v>
      </c>
      <c r="L16" s="21"/>
      <c r="M16" s="22">
        <f t="shared" si="6"/>
        <v>1.2619090909090909</v>
      </c>
      <c r="N16" s="23">
        <f>K16/H16</f>
        <v>1.2619090909090909</v>
      </c>
    </row>
    <row r="17" spans="1:14" ht="21" customHeight="1" x14ac:dyDescent="0.2">
      <c r="A17" s="82"/>
      <c r="B17" s="25" t="s">
        <v>99</v>
      </c>
      <c r="C17" s="276">
        <v>20228</v>
      </c>
      <c r="D17" s="19"/>
      <c r="E17" s="20">
        <f t="shared" si="0"/>
        <v>20228</v>
      </c>
      <c r="F17" s="124">
        <v>20000</v>
      </c>
      <c r="G17" s="125"/>
      <c r="H17" s="20">
        <f t="shared" si="1"/>
        <v>20000</v>
      </c>
      <c r="I17" s="77">
        <v>20308</v>
      </c>
      <c r="J17" s="70"/>
      <c r="K17" s="107">
        <f t="shared" si="2"/>
        <v>20308</v>
      </c>
      <c r="L17" s="21">
        <f>I17/F17</f>
        <v>1.0154000000000001</v>
      </c>
      <c r="M17" s="22"/>
      <c r="N17" s="23">
        <f>K17/H17</f>
        <v>1.0154000000000001</v>
      </c>
    </row>
    <row r="18" spans="1:14" ht="21" customHeight="1" x14ac:dyDescent="0.2">
      <c r="A18" s="82"/>
      <c r="B18" s="25" t="s">
        <v>128</v>
      </c>
      <c r="C18" s="276">
        <v>136701</v>
      </c>
      <c r="D18" s="19"/>
      <c r="E18" s="20">
        <f t="shared" si="0"/>
        <v>136701</v>
      </c>
      <c r="F18" s="124">
        <v>140000</v>
      </c>
      <c r="G18" s="125"/>
      <c r="H18" s="20">
        <f t="shared" si="1"/>
        <v>140000</v>
      </c>
      <c r="I18" s="77">
        <v>151785</v>
      </c>
      <c r="J18" s="77"/>
      <c r="K18" s="107">
        <f t="shared" si="2"/>
        <v>151785</v>
      </c>
      <c r="L18" s="21"/>
      <c r="M18" s="22"/>
      <c r="N18" s="23">
        <f>K18/H18</f>
        <v>1.0841785714285714</v>
      </c>
    </row>
    <row r="19" spans="1:14" ht="21" customHeight="1" x14ac:dyDescent="0.2">
      <c r="A19" s="4">
        <v>3</v>
      </c>
      <c r="B19" s="25" t="s">
        <v>12</v>
      </c>
      <c r="C19" s="276"/>
      <c r="D19" s="19">
        <v>102889</v>
      </c>
      <c r="E19" s="20">
        <f t="shared" si="0"/>
        <v>102889</v>
      </c>
      <c r="F19" s="124"/>
      <c r="G19" s="125">
        <f>50115-15977</f>
        <v>34138</v>
      </c>
      <c r="H19" s="20">
        <f t="shared" si="1"/>
        <v>34138</v>
      </c>
      <c r="I19" s="77"/>
      <c r="J19" s="77">
        <v>30527</v>
      </c>
      <c r="K19" s="107">
        <f t="shared" si="2"/>
        <v>30527</v>
      </c>
      <c r="L19" s="21"/>
      <c r="M19" s="22">
        <f t="shared" si="6"/>
        <v>0.89422344601324033</v>
      </c>
      <c r="N19" s="23">
        <f t="shared" si="5"/>
        <v>0.89422344601324033</v>
      </c>
    </row>
    <row r="20" spans="1:14" ht="21" customHeight="1" x14ac:dyDescent="0.2">
      <c r="A20" s="127">
        <v>4</v>
      </c>
      <c r="B20" s="25" t="s">
        <v>125</v>
      </c>
      <c r="C20" s="276"/>
      <c r="D20" s="19"/>
      <c r="E20" s="20">
        <f t="shared" si="0"/>
        <v>0</v>
      </c>
      <c r="F20" s="124"/>
      <c r="G20" s="125">
        <v>60885</v>
      </c>
      <c r="H20" s="20">
        <f t="shared" si="1"/>
        <v>60885</v>
      </c>
      <c r="I20" s="77"/>
      <c r="J20" s="77">
        <v>60821</v>
      </c>
      <c r="K20" s="107">
        <f t="shared" si="2"/>
        <v>60821</v>
      </c>
      <c r="L20" s="21"/>
      <c r="M20" s="22">
        <f t="shared" ref="M20" si="7">J20/G20</f>
        <v>0.9989488379732282</v>
      </c>
      <c r="N20" s="23">
        <f t="shared" ref="N20" si="8">K20/H20</f>
        <v>0.9989488379732282</v>
      </c>
    </row>
    <row r="21" spans="1:14" ht="21" customHeight="1" x14ac:dyDescent="0.2">
      <c r="A21" s="129">
        <v>5</v>
      </c>
      <c r="B21" s="25" t="s">
        <v>131</v>
      </c>
      <c r="C21" s="276"/>
      <c r="D21" s="19"/>
      <c r="E21" s="20">
        <f t="shared" si="0"/>
        <v>0</v>
      </c>
      <c r="F21" s="124"/>
      <c r="G21" s="125">
        <v>15977</v>
      </c>
      <c r="H21" s="20">
        <f t="shared" si="1"/>
        <v>15977</v>
      </c>
      <c r="I21" s="77"/>
      <c r="J21" s="77">
        <v>15392</v>
      </c>
      <c r="K21" s="107">
        <f t="shared" si="2"/>
        <v>15392</v>
      </c>
      <c r="L21" s="21"/>
      <c r="M21" s="22">
        <f t="shared" ref="M21" si="9">J21/G21</f>
        <v>0.96338486574450777</v>
      </c>
      <c r="N21" s="23">
        <f t="shared" ref="N21" si="10">K21/H21</f>
        <v>0.96338486574450777</v>
      </c>
    </row>
    <row r="22" spans="1:14" ht="21" customHeight="1" x14ac:dyDescent="0.2">
      <c r="A22" s="4">
        <v>6</v>
      </c>
      <c r="B22" s="25" t="s">
        <v>13</v>
      </c>
      <c r="C22" s="276"/>
      <c r="D22" s="19">
        <v>12821</v>
      </c>
      <c r="E22" s="20">
        <f t="shared" si="0"/>
        <v>12821</v>
      </c>
      <c r="F22" s="124"/>
      <c r="G22" s="125">
        <v>13000</v>
      </c>
      <c r="H22" s="20">
        <f t="shared" si="1"/>
        <v>13000</v>
      </c>
      <c r="I22" s="77"/>
      <c r="J22" s="70">
        <v>12417</v>
      </c>
      <c r="K22" s="107">
        <f t="shared" si="2"/>
        <v>12417</v>
      </c>
      <c r="L22" s="21"/>
      <c r="M22" s="22">
        <f t="shared" si="6"/>
        <v>0.95515384615384613</v>
      </c>
      <c r="N22" s="23">
        <f>K22/H22</f>
        <v>0.95515384615384613</v>
      </c>
    </row>
    <row r="23" spans="1:14" ht="21" customHeight="1" x14ac:dyDescent="0.2">
      <c r="A23" s="4">
        <v>7</v>
      </c>
      <c r="B23" s="25" t="s">
        <v>14</v>
      </c>
      <c r="C23" s="276"/>
      <c r="D23" s="19">
        <v>4726</v>
      </c>
      <c r="E23" s="20">
        <f t="shared" si="0"/>
        <v>4726</v>
      </c>
      <c r="F23" s="124"/>
      <c r="G23" s="125">
        <v>1000</v>
      </c>
      <c r="H23" s="20">
        <f t="shared" si="1"/>
        <v>1000</v>
      </c>
      <c r="I23" s="77"/>
      <c r="J23" s="70">
        <v>1548</v>
      </c>
      <c r="K23" s="107">
        <f t="shared" si="2"/>
        <v>1548</v>
      </c>
      <c r="L23" s="21"/>
      <c r="M23" s="22">
        <f t="shared" si="6"/>
        <v>1.548</v>
      </c>
      <c r="N23" s="23">
        <f t="shared" si="5"/>
        <v>1.548</v>
      </c>
    </row>
    <row r="24" spans="1:14" ht="21" customHeight="1" x14ac:dyDescent="0.2">
      <c r="A24" s="4">
        <v>8</v>
      </c>
      <c r="B24" s="9" t="s">
        <v>15</v>
      </c>
      <c r="C24" s="10">
        <f>SUM(C4:C18)</f>
        <v>1460847</v>
      </c>
      <c r="D24" s="11">
        <f>SUM(D4:D23)</f>
        <v>150530</v>
      </c>
      <c r="E24" s="12">
        <f t="shared" ref="E24" si="11">SUM(C24:D24)</f>
        <v>1611377</v>
      </c>
      <c r="F24" s="10">
        <f>SUM(F4:F18)</f>
        <v>1486500</v>
      </c>
      <c r="G24" s="11">
        <f>SUM(G4:G23)</f>
        <v>166500</v>
      </c>
      <c r="H24" s="12">
        <f t="shared" si="1"/>
        <v>1653000</v>
      </c>
      <c r="I24" s="13">
        <f>SUM(I3,I19:I23)</f>
        <v>1559343</v>
      </c>
      <c r="J24" s="11">
        <f>SUM(J3,J19:J23)</f>
        <v>159692</v>
      </c>
      <c r="K24" s="14">
        <f t="shared" si="2"/>
        <v>1719035</v>
      </c>
      <c r="L24" s="15">
        <f>I24/F24</f>
        <v>1.0490030272452069</v>
      </c>
      <c r="M24" s="16">
        <f t="shared" si="6"/>
        <v>0.95911111111111114</v>
      </c>
      <c r="N24" s="17">
        <f t="shared" si="5"/>
        <v>1.0399485783424078</v>
      </c>
    </row>
    <row r="25" spans="1:14" ht="21" customHeight="1" x14ac:dyDescent="0.2">
      <c r="A25" s="4">
        <v>9</v>
      </c>
      <c r="B25" s="25" t="s">
        <v>16</v>
      </c>
      <c r="C25" s="276"/>
      <c r="D25" s="19"/>
      <c r="E25" s="277">
        <v>164000</v>
      </c>
      <c r="F25" s="119"/>
      <c r="G25" s="58"/>
      <c r="H25" s="20">
        <v>140000</v>
      </c>
      <c r="I25" s="77"/>
      <c r="J25" s="70"/>
      <c r="K25" s="108">
        <v>158556</v>
      </c>
      <c r="L25" s="21"/>
      <c r="M25" s="22"/>
      <c r="N25" s="23">
        <f t="shared" si="5"/>
        <v>1.1325428571428571</v>
      </c>
    </row>
    <row r="26" spans="1:14" ht="21" customHeight="1" x14ac:dyDescent="0.2">
      <c r="A26" s="86">
        <v>10</v>
      </c>
      <c r="B26" s="87" t="s">
        <v>132</v>
      </c>
      <c r="C26" s="120"/>
      <c r="D26" s="27"/>
      <c r="E26" s="278">
        <v>92549</v>
      </c>
      <c r="F26" s="120"/>
      <c r="G26" s="88"/>
      <c r="H26" s="20">
        <v>90000</v>
      </c>
      <c r="I26" s="109"/>
      <c r="J26" s="110"/>
      <c r="K26" s="107">
        <v>97117</v>
      </c>
      <c r="L26" s="89"/>
      <c r="M26" s="90"/>
      <c r="N26" s="23">
        <f t="shared" si="5"/>
        <v>1.0790777777777778</v>
      </c>
    </row>
    <row r="27" spans="1:14" ht="21" customHeight="1" thickBot="1" x14ac:dyDescent="0.25">
      <c r="A27" s="28">
        <v>11</v>
      </c>
      <c r="B27" s="29" t="s">
        <v>17</v>
      </c>
      <c r="C27" s="56">
        <f t="shared" ref="C27:E27" si="12">SUM(C24:C26)</f>
        <v>1460847</v>
      </c>
      <c r="D27" s="30">
        <f t="shared" si="12"/>
        <v>150530</v>
      </c>
      <c r="E27" s="59">
        <f t="shared" si="12"/>
        <v>1867926</v>
      </c>
      <c r="F27" s="56">
        <f t="shared" ref="F27:K27" si="13">SUM(F24:F26)</f>
        <v>1486500</v>
      </c>
      <c r="G27" s="30">
        <f t="shared" si="13"/>
        <v>166500</v>
      </c>
      <c r="H27" s="59">
        <f t="shared" si="13"/>
        <v>1883000</v>
      </c>
      <c r="I27" s="56">
        <f t="shared" si="13"/>
        <v>1559343</v>
      </c>
      <c r="J27" s="30">
        <f t="shared" si="13"/>
        <v>159692</v>
      </c>
      <c r="K27" s="59">
        <f t="shared" si="13"/>
        <v>1974708</v>
      </c>
      <c r="L27" s="31">
        <f>I27/F27</f>
        <v>1.0490030272452069</v>
      </c>
      <c r="M27" s="32">
        <f>J27/G27</f>
        <v>0.95911111111111114</v>
      </c>
      <c r="N27" s="33">
        <f>K27/H27</f>
        <v>1.0487031332979289</v>
      </c>
    </row>
    <row r="33" spans="8:11" ht="21" customHeight="1" x14ac:dyDescent="0.2">
      <c r="H33" s="83"/>
      <c r="K33" s="8"/>
    </row>
    <row r="34" spans="8:11" ht="21" customHeight="1" x14ac:dyDescent="0.2">
      <c r="H34" s="83"/>
      <c r="K34" s="8"/>
    </row>
    <row r="45" spans="8:11" ht="21" customHeight="1" x14ac:dyDescent="0.2">
      <c r="K45" s="8"/>
    </row>
    <row r="46" spans="8:11" ht="21" customHeight="1" x14ac:dyDescent="0.2">
      <c r="K46" s="8"/>
    </row>
    <row r="47" spans="8:11" ht="21" customHeight="1" x14ac:dyDescent="0.2">
      <c r="K47" s="8"/>
    </row>
    <row r="48" spans="8:11" ht="21" customHeight="1" x14ac:dyDescent="0.2">
      <c r="K48" s="8"/>
    </row>
    <row r="49" spans="11:11" ht="21" customHeight="1" x14ac:dyDescent="0.2">
      <c r="K49" s="8"/>
    </row>
    <row r="50" spans="11:11" ht="21" customHeight="1" x14ac:dyDescent="0.2">
      <c r="K50" s="8"/>
    </row>
    <row r="51" spans="11:11" ht="21" customHeight="1" x14ac:dyDescent="0.2">
      <c r="K51" s="8"/>
    </row>
    <row r="52" spans="11:11" ht="21" customHeight="1" x14ac:dyDescent="0.2">
      <c r="K52" s="8"/>
    </row>
    <row r="53" spans="11:11" ht="21" customHeight="1" x14ac:dyDescent="0.2">
      <c r="K53" s="8"/>
    </row>
    <row r="54" spans="11:11" ht="21" customHeight="1" x14ac:dyDescent="0.2">
      <c r="K54" s="8"/>
    </row>
    <row r="55" spans="11:11" ht="21" customHeight="1" x14ac:dyDescent="0.2">
      <c r="K55" s="8"/>
    </row>
    <row r="56" spans="11:11" ht="21" customHeight="1" x14ac:dyDescent="0.2">
      <c r="K56" s="8"/>
    </row>
    <row r="57" spans="11:11" ht="21" customHeight="1" x14ac:dyDescent="0.2">
      <c r="K57" s="8"/>
    </row>
    <row r="58" spans="11:11" ht="21" customHeight="1" x14ac:dyDescent="0.2">
      <c r="K58" s="8"/>
    </row>
    <row r="59" spans="11:11" ht="21" customHeight="1" x14ac:dyDescent="0.2">
      <c r="K59" s="8"/>
    </row>
    <row r="60" spans="11:11" ht="21" customHeight="1" x14ac:dyDescent="0.2">
      <c r="K60" s="8"/>
    </row>
    <row r="61" spans="11:11" ht="21" customHeight="1" x14ac:dyDescent="0.2">
      <c r="K61" s="8"/>
    </row>
    <row r="62" spans="11:11" ht="21" customHeight="1" x14ac:dyDescent="0.2">
      <c r="K62" s="8"/>
    </row>
    <row r="63" spans="11:11" ht="21" customHeight="1" x14ac:dyDescent="0.2">
      <c r="K63" s="8"/>
    </row>
    <row r="64" spans="11:11" ht="21" customHeight="1" x14ac:dyDescent="0.2">
      <c r="K64" s="8"/>
    </row>
    <row r="65" spans="11:11" ht="21" customHeight="1" x14ac:dyDescent="0.2">
      <c r="K65" s="8"/>
    </row>
    <row r="66" spans="11:11" ht="21" customHeight="1" x14ac:dyDescent="0.2">
      <c r="K66" s="8"/>
    </row>
    <row r="67" spans="11:11" ht="21" customHeight="1" x14ac:dyDescent="0.2">
      <c r="K67" s="8"/>
    </row>
    <row r="68" spans="11:11" ht="21" customHeight="1" x14ac:dyDescent="0.2">
      <c r="K68" s="8"/>
    </row>
  </sheetData>
  <mergeCells count="5">
    <mergeCell ref="A1:B2"/>
    <mergeCell ref="F1:H1"/>
    <mergeCell ref="I1:K1"/>
    <mergeCell ref="L1:N1"/>
    <mergeCell ref="C1:E1"/>
  </mergeCells>
  <phoneticPr fontId="0" type="noConversion"/>
  <conditionalFormatting sqref="A1:XFD1048576">
    <cfRule type="cellIs" dxfId="15" priority="13" stopIfTrue="1" operator="equal">
      <formula>0</formula>
    </cfRule>
  </conditionalFormatting>
  <printOptions horizontalCentered="1" verticalCentered="1"/>
  <pageMargins left="0" right="0" top="0.70866141732283472" bottom="0.39370078740157483" header="0.31496062992125984" footer="0.31496062992125984"/>
  <pageSetup paperSize="9" scale="90" orientation="landscape" r:id="rId1"/>
  <headerFooter alignWithMargins="0">
    <oddHeader>&amp;CXIII. Kerületi Egészségügyi Szolgálat Nonprofit Kft.
2016. évi bevétele&amp;R5. sz. melléklet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4"/>
  <sheetViews>
    <sheetView topLeftCell="B11" workbookViewId="0">
      <selection activeCell="K24" sqref="K24"/>
    </sheetView>
  </sheetViews>
  <sheetFormatPr defaultRowHeight="21" customHeight="1" x14ac:dyDescent="0.2"/>
  <cols>
    <col min="1" max="1" width="22.28515625" style="172" customWidth="1"/>
    <col min="2" max="25" width="6.7109375" style="230" customWidth="1"/>
    <col min="26" max="256" width="9.140625" style="172"/>
    <col min="257" max="257" width="22.28515625" style="172" customWidth="1"/>
    <col min="258" max="281" width="6.7109375" style="172" customWidth="1"/>
    <col min="282" max="512" width="9.140625" style="172"/>
    <col min="513" max="513" width="22.28515625" style="172" customWidth="1"/>
    <col min="514" max="537" width="6.7109375" style="172" customWidth="1"/>
    <col min="538" max="768" width="9.140625" style="172"/>
    <col min="769" max="769" width="22.28515625" style="172" customWidth="1"/>
    <col min="770" max="793" width="6.7109375" style="172" customWidth="1"/>
    <col min="794" max="1024" width="9.140625" style="172"/>
    <col min="1025" max="1025" width="22.28515625" style="172" customWidth="1"/>
    <col min="1026" max="1049" width="6.7109375" style="172" customWidth="1"/>
    <col min="1050" max="1280" width="9.140625" style="172"/>
    <col min="1281" max="1281" width="22.28515625" style="172" customWidth="1"/>
    <col min="1282" max="1305" width="6.7109375" style="172" customWidth="1"/>
    <col min="1306" max="1536" width="9.140625" style="172"/>
    <col min="1537" max="1537" width="22.28515625" style="172" customWidth="1"/>
    <col min="1538" max="1561" width="6.7109375" style="172" customWidth="1"/>
    <col min="1562" max="1792" width="9.140625" style="172"/>
    <col min="1793" max="1793" width="22.28515625" style="172" customWidth="1"/>
    <col min="1794" max="1817" width="6.7109375" style="172" customWidth="1"/>
    <col min="1818" max="2048" width="9.140625" style="172"/>
    <col min="2049" max="2049" width="22.28515625" style="172" customWidth="1"/>
    <col min="2050" max="2073" width="6.7109375" style="172" customWidth="1"/>
    <col min="2074" max="2304" width="9.140625" style="172"/>
    <col min="2305" max="2305" width="22.28515625" style="172" customWidth="1"/>
    <col min="2306" max="2329" width="6.7109375" style="172" customWidth="1"/>
    <col min="2330" max="2560" width="9.140625" style="172"/>
    <col min="2561" max="2561" width="22.28515625" style="172" customWidth="1"/>
    <col min="2562" max="2585" width="6.7109375" style="172" customWidth="1"/>
    <col min="2586" max="2816" width="9.140625" style="172"/>
    <col min="2817" max="2817" width="22.28515625" style="172" customWidth="1"/>
    <col min="2818" max="2841" width="6.7109375" style="172" customWidth="1"/>
    <col min="2842" max="3072" width="9.140625" style="172"/>
    <col min="3073" max="3073" width="22.28515625" style="172" customWidth="1"/>
    <col min="3074" max="3097" width="6.7109375" style="172" customWidth="1"/>
    <col min="3098" max="3328" width="9.140625" style="172"/>
    <col min="3329" max="3329" width="22.28515625" style="172" customWidth="1"/>
    <col min="3330" max="3353" width="6.7109375" style="172" customWidth="1"/>
    <col min="3354" max="3584" width="9.140625" style="172"/>
    <col min="3585" max="3585" width="22.28515625" style="172" customWidth="1"/>
    <col min="3586" max="3609" width="6.7109375" style="172" customWidth="1"/>
    <col min="3610" max="3840" width="9.140625" style="172"/>
    <col min="3841" max="3841" width="22.28515625" style="172" customWidth="1"/>
    <col min="3842" max="3865" width="6.7109375" style="172" customWidth="1"/>
    <col min="3866" max="4096" width="9.140625" style="172"/>
    <col min="4097" max="4097" width="22.28515625" style="172" customWidth="1"/>
    <col min="4098" max="4121" width="6.7109375" style="172" customWidth="1"/>
    <col min="4122" max="4352" width="9.140625" style="172"/>
    <col min="4353" max="4353" width="22.28515625" style="172" customWidth="1"/>
    <col min="4354" max="4377" width="6.7109375" style="172" customWidth="1"/>
    <col min="4378" max="4608" width="9.140625" style="172"/>
    <col min="4609" max="4609" width="22.28515625" style="172" customWidth="1"/>
    <col min="4610" max="4633" width="6.7109375" style="172" customWidth="1"/>
    <col min="4634" max="4864" width="9.140625" style="172"/>
    <col min="4865" max="4865" width="22.28515625" style="172" customWidth="1"/>
    <col min="4866" max="4889" width="6.7109375" style="172" customWidth="1"/>
    <col min="4890" max="5120" width="9.140625" style="172"/>
    <col min="5121" max="5121" width="22.28515625" style="172" customWidth="1"/>
    <col min="5122" max="5145" width="6.7109375" style="172" customWidth="1"/>
    <col min="5146" max="5376" width="9.140625" style="172"/>
    <col min="5377" max="5377" width="22.28515625" style="172" customWidth="1"/>
    <col min="5378" max="5401" width="6.7109375" style="172" customWidth="1"/>
    <col min="5402" max="5632" width="9.140625" style="172"/>
    <col min="5633" max="5633" width="22.28515625" style="172" customWidth="1"/>
    <col min="5634" max="5657" width="6.7109375" style="172" customWidth="1"/>
    <col min="5658" max="5888" width="9.140625" style="172"/>
    <col min="5889" max="5889" width="22.28515625" style="172" customWidth="1"/>
    <col min="5890" max="5913" width="6.7109375" style="172" customWidth="1"/>
    <col min="5914" max="6144" width="9.140625" style="172"/>
    <col min="6145" max="6145" width="22.28515625" style="172" customWidth="1"/>
    <col min="6146" max="6169" width="6.7109375" style="172" customWidth="1"/>
    <col min="6170" max="6400" width="9.140625" style="172"/>
    <col min="6401" max="6401" width="22.28515625" style="172" customWidth="1"/>
    <col min="6402" max="6425" width="6.7109375" style="172" customWidth="1"/>
    <col min="6426" max="6656" width="9.140625" style="172"/>
    <col min="6657" max="6657" width="22.28515625" style="172" customWidth="1"/>
    <col min="6658" max="6681" width="6.7109375" style="172" customWidth="1"/>
    <col min="6682" max="6912" width="9.140625" style="172"/>
    <col min="6913" max="6913" width="22.28515625" style="172" customWidth="1"/>
    <col min="6914" max="6937" width="6.7109375" style="172" customWidth="1"/>
    <col min="6938" max="7168" width="9.140625" style="172"/>
    <col min="7169" max="7169" width="22.28515625" style="172" customWidth="1"/>
    <col min="7170" max="7193" width="6.7109375" style="172" customWidth="1"/>
    <col min="7194" max="7424" width="9.140625" style="172"/>
    <col min="7425" max="7425" width="22.28515625" style="172" customWidth="1"/>
    <col min="7426" max="7449" width="6.7109375" style="172" customWidth="1"/>
    <col min="7450" max="7680" width="9.140625" style="172"/>
    <col min="7681" max="7681" width="22.28515625" style="172" customWidth="1"/>
    <col min="7682" max="7705" width="6.7109375" style="172" customWidth="1"/>
    <col min="7706" max="7936" width="9.140625" style="172"/>
    <col min="7937" max="7937" width="22.28515625" style="172" customWidth="1"/>
    <col min="7938" max="7961" width="6.7109375" style="172" customWidth="1"/>
    <col min="7962" max="8192" width="9.140625" style="172"/>
    <col min="8193" max="8193" width="22.28515625" style="172" customWidth="1"/>
    <col min="8194" max="8217" width="6.7109375" style="172" customWidth="1"/>
    <col min="8218" max="8448" width="9.140625" style="172"/>
    <col min="8449" max="8449" width="22.28515625" style="172" customWidth="1"/>
    <col min="8450" max="8473" width="6.7109375" style="172" customWidth="1"/>
    <col min="8474" max="8704" width="9.140625" style="172"/>
    <col min="8705" max="8705" width="22.28515625" style="172" customWidth="1"/>
    <col min="8706" max="8729" width="6.7109375" style="172" customWidth="1"/>
    <col min="8730" max="8960" width="9.140625" style="172"/>
    <col min="8961" max="8961" width="22.28515625" style="172" customWidth="1"/>
    <col min="8962" max="8985" width="6.7109375" style="172" customWidth="1"/>
    <col min="8986" max="9216" width="9.140625" style="172"/>
    <col min="9217" max="9217" width="22.28515625" style="172" customWidth="1"/>
    <col min="9218" max="9241" width="6.7109375" style="172" customWidth="1"/>
    <col min="9242" max="9472" width="9.140625" style="172"/>
    <col min="9473" max="9473" width="22.28515625" style="172" customWidth="1"/>
    <col min="9474" max="9497" width="6.7109375" style="172" customWidth="1"/>
    <col min="9498" max="9728" width="9.140625" style="172"/>
    <col min="9729" max="9729" width="22.28515625" style="172" customWidth="1"/>
    <col min="9730" max="9753" width="6.7109375" style="172" customWidth="1"/>
    <col min="9754" max="9984" width="9.140625" style="172"/>
    <col min="9985" max="9985" width="22.28515625" style="172" customWidth="1"/>
    <col min="9986" max="10009" width="6.7109375" style="172" customWidth="1"/>
    <col min="10010" max="10240" width="9.140625" style="172"/>
    <col min="10241" max="10241" width="22.28515625" style="172" customWidth="1"/>
    <col min="10242" max="10265" width="6.7109375" style="172" customWidth="1"/>
    <col min="10266" max="10496" width="9.140625" style="172"/>
    <col min="10497" max="10497" width="22.28515625" style="172" customWidth="1"/>
    <col min="10498" max="10521" width="6.7109375" style="172" customWidth="1"/>
    <col min="10522" max="10752" width="9.140625" style="172"/>
    <col min="10753" max="10753" width="22.28515625" style="172" customWidth="1"/>
    <col min="10754" max="10777" width="6.7109375" style="172" customWidth="1"/>
    <col min="10778" max="11008" width="9.140625" style="172"/>
    <col min="11009" max="11009" width="22.28515625" style="172" customWidth="1"/>
    <col min="11010" max="11033" width="6.7109375" style="172" customWidth="1"/>
    <col min="11034" max="11264" width="9.140625" style="172"/>
    <col min="11265" max="11265" width="22.28515625" style="172" customWidth="1"/>
    <col min="11266" max="11289" width="6.7109375" style="172" customWidth="1"/>
    <col min="11290" max="11520" width="9.140625" style="172"/>
    <col min="11521" max="11521" width="22.28515625" style="172" customWidth="1"/>
    <col min="11522" max="11545" width="6.7109375" style="172" customWidth="1"/>
    <col min="11546" max="11776" width="9.140625" style="172"/>
    <col min="11777" max="11777" width="22.28515625" style="172" customWidth="1"/>
    <col min="11778" max="11801" width="6.7109375" style="172" customWidth="1"/>
    <col min="11802" max="12032" width="9.140625" style="172"/>
    <col min="12033" max="12033" width="22.28515625" style="172" customWidth="1"/>
    <col min="12034" max="12057" width="6.7109375" style="172" customWidth="1"/>
    <col min="12058" max="12288" width="9.140625" style="172"/>
    <col min="12289" max="12289" width="22.28515625" style="172" customWidth="1"/>
    <col min="12290" max="12313" width="6.7109375" style="172" customWidth="1"/>
    <col min="12314" max="12544" width="9.140625" style="172"/>
    <col min="12545" max="12545" width="22.28515625" style="172" customWidth="1"/>
    <col min="12546" max="12569" width="6.7109375" style="172" customWidth="1"/>
    <col min="12570" max="12800" width="9.140625" style="172"/>
    <col min="12801" max="12801" width="22.28515625" style="172" customWidth="1"/>
    <col min="12802" max="12825" width="6.7109375" style="172" customWidth="1"/>
    <col min="12826" max="13056" width="9.140625" style="172"/>
    <col min="13057" max="13057" width="22.28515625" style="172" customWidth="1"/>
    <col min="13058" max="13081" width="6.7109375" style="172" customWidth="1"/>
    <col min="13082" max="13312" width="9.140625" style="172"/>
    <col min="13313" max="13313" width="22.28515625" style="172" customWidth="1"/>
    <col min="13314" max="13337" width="6.7109375" style="172" customWidth="1"/>
    <col min="13338" max="13568" width="9.140625" style="172"/>
    <col min="13569" max="13569" width="22.28515625" style="172" customWidth="1"/>
    <col min="13570" max="13593" width="6.7109375" style="172" customWidth="1"/>
    <col min="13594" max="13824" width="9.140625" style="172"/>
    <col min="13825" max="13825" width="22.28515625" style="172" customWidth="1"/>
    <col min="13826" max="13849" width="6.7109375" style="172" customWidth="1"/>
    <col min="13850" max="14080" width="9.140625" style="172"/>
    <col min="14081" max="14081" width="22.28515625" style="172" customWidth="1"/>
    <col min="14082" max="14105" width="6.7109375" style="172" customWidth="1"/>
    <col min="14106" max="14336" width="9.140625" style="172"/>
    <col min="14337" max="14337" width="22.28515625" style="172" customWidth="1"/>
    <col min="14338" max="14361" width="6.7109375" style="172" customWidth="1"/>
    <col min="14362" max="14592" width="9.140625" style="172"/>
    <col min="14593" max="14593" width="22.28515625" style="172" customWidth="1"/>
    <col min="14594" max="14617" width="6.7109375" style="172" customWidth="1"/>
    <col min="14618" max="14848" width="9.140625" style="172"/>
    <col min="14849" max="14849" width="22.28515625" style="172" customWidth="1"/>
    <col min="14850" max="14873" width="6.7109375" style="172" customWidth="1"/>
    <col min="14874" max="15104" width="9.140625" style="172"/>
    <col min="15105" max="15105" width="22.28515625" style="172" customWidth="1"/>
    <col min="15106" max="15129" width="6.7109375" style="172" customWidth="1"/>
    <col min="15130" max="15360" width="9.140625" style="172"/>
    <col min="15361" max="15361" width="22.28515625" style="172" customWidth="1"/>
    <col min="15362" max="15385" width="6.7109375" style="172" customWidth="1"/>
    <col min="15386" max="15616" width="9.140625" style="172"/>
    <col min="15617" max="15617" width="22.28515625" style="172" customWidth="1"/>
    <col min="15618" max="15641" width="6.7109375" style="172" customWidth="1"/>
    <col min="15642" max="15872" width="9.140625" style="172"/>
    <col min="15873" max="15873" width="22.28515625" style="172" customWidth="1"/>
    <col min="15874" max="15897" width="6.7109375" style="172" customWidth="1"/>
    <col min="15898" max="16128" width="9.140625" style="172"/>
    <col min="16129" max="16129" width="22.28515625" style="172" customWidth="1"/>
    <col min="16130" max="16153" width="6.7109375" style="172" customWidth="1"/>
    <col min="16154" max="16384" width="9.140625" style="172"/>
  </cols>
  <sheetData>
    <row r="1" spans="1:43" ht="19.5" customHeight="1" x14ac:dyDescent="0.2">
      <c r="A1" s="611" t="s">
        <v>223</v>
      </c>
      <c r="B1" s="624" t="s">
        <v>224</v>
      </c>
      <c r="C1" s="616"/>
      <c r="D1" s="616"/>
      <c r="E1" s="616"/>
      <c r="F1" s="616"/>
      <c r="G1" s="616"/>
      <c r="H1" s="616"/>
      <c r="I1" s="617"/>
      <c r="J1" s="613" t="s">
        <v>225</v>
      </c>
      <c r="K1" s="614"/>
      <c r="L1" s="614"/>
      <c r="M1" s="614"/>
      <c r="N1" s="614"/>
      <c r="O1" s="614"/>
      <c r="P1" s="614"/>
      <c r="Q1" s="615"/>
      <c r="Z1" s="230"/>
      <c r="AA1" s="230"/>
      <c r="AB1" s="230"/>
      <c r="AC1" s="230"/>
      <c r="AD1" s="230"/>
      <c r="AE1" s="230"/>
      <c r="AF1" s="230"/>
      <c r="AG1" s="230"/>
      <c r="AH1" s="230"/>
      <c r="AI1" s="230"/>
      <c r="AJ1" s="230"/>
      <c r="AK1" s="230"/>
      <c r="AL1" s="230"/>
      <c r="AN1" s="230"/>
      <c r="AO1" s="230"/>
      <c r="AP1" s="230"/>
      <c r="AQ1" s="230"/>
    </row>
    <row r="2" spans="1:43" ht="24" customHeight="1" x14ac:dyDescent="0.2">
      <c r="A2" s="628"/>
      <c r="B2" s="630" t="s">
        <v>226</v>
      </c>
      <c r="C2" s="631"/>
      <c r="D2" s="632" t="s">
        <v>227</v>
      </c>
      <c r="E2" s="631"/>
      <c r="F2" s="632" t="s">
        <v>228</v>
      </c>
      <c r="G2" s="631"/>
      <c r="H2" s="632" t="s">
        <v>229</v>
      </c>
      <c r="I2" s="633"/>
      <c r="J2" s="634" t="s">
        <v>226</v>
      </c>
      <c r="K2" s="619"/>
      <c r="L2" s="619" t="s">
        <v>227</v>
      </c>
      <c r="M2" s="619"/>
      <c r="N2" s="619" t="s">
        <v>228</v>
      </c>
      <c r="O2" s="619"/>
      <c r="P2" s="619" t="s">
        <v>229</v>
      </c>
      <c r="Q2" s="635"/>
      <c r="T2" s="237"/>
      <c r="X2" s="172"/>
      <c r="Y2" s="172"/>
      <c r="AI2" s="230"/>
    </row>
    <row r="3" spans="1:43" s="230" customFormat="1" ht="24" customHeight="1" x14ac:dyDescent="0.2">
      <c r="A3" s="629"/>
      <c r="B3" s="238" t="s">
        <v>238</v>
      </c>
      <c r="C3" s="239" t="s">
        <v>241</v>
      </c>
      <c r="D3" s="577" t="str">
        <f t="shared" ref="D3:Q3" si="0">B3</f>
        <v>2016 terv</v>
      </c>
      <c r="E3" s="239" t="str">
        <f t="shared" si="0"/>
        <v>2016          tény</v>
      </c>
      <c r="F3" s="577" t="str">
        <f t="shared" si="0"/>
        <v>2016 terv</v>
      </c>
      <c r="G3" s="239" t="str">
        <f t="shared" si="0"/>
        <v>2016          tény</v>
      </c>
      <c r="H3" s="577" t="str">
        <f t="shared" si="0"/>
        <v>2016 terv</v>
      </c>
      <c r="I3" s="240" t="str">
        <f t="shared" si="0"/>
        <v>2016          tény</v>
      </c>
      <c r="J3" s="576" t="str">
        <f t="shared" si="0"/>
        <v>2016 terv</v>
      </c>
      <c r="K3" s="239" t="str">
        <f t="shared" si="0"/>
        <v>2016          tény</v>
      </c>
      <c r="L3" s="577" t="str">
        <f t="shared" si="0"/>
        <v>2016 terv</v>
      </c>
      <c r="M3" s="239" t="str">
        <f t="shared" si="0"/>
        <v>2016          tény</v>
      </c>
      <c r="N3" s="577" t="str">
        <f t="shared" si="0"/>
        <v>2016 terv</v>
      </c>
      <c r="O3" s="239" t="str">
        <f t="shared" si="0"/>
        <v>2016          tény</v>
      </c>
      <c r="P3" s="577" t="str">
        <f t="shared" si="0"/>
        <v>2016 terv</v>
      </c>
      <c r="Q3" s="241" t="str">
        <f t="shared" si="0"/>
        <v>2016          tény</v>
      </c>
      <c r="T3" s="237"/>
      <c r="X3" s="172"/>
      <c r="Y3" s="172"/>
    </row>
    <row r="4" spans="1:43" ht="19.5" customHeight="1" x14ac:dyDescent="0.2">
      <c r="A4" s="182" t="s">
        <v>230</v>
      </c>
      <c r="B4" s="242"/>
      <c r="C4" s="243"/>
      <c r="D4" s="244">
        <v>8</v>
      </c>
      <c r="E4" s="243">
        <v>8</v>
      </c>
      <c r="F4" s="244"/>
      <c r="G4" s="243"/>
      <c r="H4" s="244">
        <v>9</v>
      </c>
      <c r="I4" s="245">
        <v>8</v>
      </c>
      <c r="J4" s="273"/>
      <c r="K4" s="268"/>
      <c r="L4" s="269"/>
      <c r="M4" s="268"/>
      <c r="N4" s="269"/>
      <c r="O4" s="268"/>
      <c r="P4" s="270">
        <v>1.25</v>
      </c>
      <c r="Q4" s="271">
        <v>2</v>
      </c>
      <c r="T4" s="237"/>
    </row>
    <row r="5" spans="1:43" ht="19.5" customHeight="1" x14ac:dyDescent="0.2">
      <c r="A5" s="182" t="s">
        <v>231</v>
      </c>
      <c r="B5" s="242"/>
      <c r="C5" s="243"/>
      <c r="D5" s="244">
        <v>1</v>
      </c>
      <c r="E5" s="243">
        <v>1.67</v>
      </c>
      <c r="F5" s="244"/>
      <c r="G5" s="243"/>
      <c r="H5" s="244">
        <v>1</v>
      </c>
      <c r="I5" s="245">
        <v>1</v>
      </c>
      <c r="J5" s="273"/>
      <c r="K5" s="268"/>
      <c r="L5" s="269"/>
      <c r="M5" s="268"/>
      <c r="N5" s="269"/>
      <c r="O5" s="268"/>
      <c r="P5" s="270"/>
      <c r="Q5" s="271"/>
      <c r="T5" s="248"/>
      <c r="U5" s="249"/>
      <c r="V5" s="249"/>
      <c r="W5" s="249"/>
      <c r="X5" s="172"/>
      <c r="Y5" s="172"/>
    </row>
    <row r="6" spans="1:43" ht="19.5" customHeight="1" x14ac:dyDescent="0.2">
      <c r="A6" s="182" t="s">
        <v>232</v>
      </c>
      <c r="B6" s="242">
        <v>37</v>
      </c>
      <c r="C6" s="243">
        <v>35</v>
      </c>
      <c r="D6" s="244">
        <v>12</v>
      </c>
      <c r="E6" s="243">
        <v>11.46</v>
      </c>
      <c r="F6" s="244">
        <v>96</v>
      </c>
      <c r="G6" s="243">
        <v>104.21</v>
      </c>
      <c r="H6" s="244">
        <v>21</v>
      </c>
      <c r="I6" s="245">
        <v>23</v>
      </c>
      <c r="J6" s="273">
        <v>15.97</v>
      </c>
      <c r="K6" s="268">
        <v>22.43</v>
      </c>
      <c r="L6" s="269">
        <v>0.57999999999999996</v>
      </c>
      <c r="M6" s="268">
        <v>0.2</v>
      </c>
      <c r="N6" s="269">
        <v>12.12</v>
      </c>
      <c r="O6" s="268">
        <v>10.65</v>
      </c>
      <c r="P6" s="270">
        <v>2.25</v>
      </c>
      <c r="Q6" s="271">
        <v>2.25</v>
      </c>
      <c r="T6" s="248"/>
      <c r="U6" s="249"/>
      <c r="V6" s="249"/>
      <c r="W6" s="249"/>
      <c r="X6" s="172"/>
      <c r="Y6" s="172"/>
    </row>
    <row r="7" spans="1:43" ht="19.5" customHeight="1" x14ac:dyDescent="0.2">
      <c r="A7" s="250" t="s">
        <v>233</v>
      </c>
      <c r="B7" s="242">
        <v>2</v>
      </c>
      <c r="C7" s="243">
        <v>2</v>
      </c>
      <c r="D7" s="244">
        <v>1</v>
      </c>
      <c r="E7" s="243">
        <v>1</v>
      </c>
      <c r="F7" s="244">
        <v>6</v>
      </c>
      <c r="G7" s="243">
        <v>6</v>
      </c>
      <c r="H7" s="244">
        <v>2</v>
      </c>
      <c r="I7" s="245">
        <v>1.92</v>
      </c>
      <c r="J7" s="273">
        <v>0.4</v>
      </c>
      <c r="K7" s="268">
        <v>0.4</v>
      </c>
      <c r="L7" s="269"/>
      <c r="M7" s="268"/>
      <c r="N7" s="269"/>
      <c r="O7" s="268"/>
      <c r="P7" s="270"/>
      <c r="Q7" s="271"/>
      <c r="T7" s="248"/>
      <c r="U7" s="251"/>
      <c r="V7" s="251"/>
      <c r="W7" s="251"/>
      <c r="X7" s="172"/>
      <c r="Y7" s="172"/>
    </row>
    <row r="8" spans="1:43" ht="19.5" customHeight="1" x14ac:dyDescent="0.2">
      <c r="A8" s="250" t="s">
        <v>164</v>
      </c>
      <c r="B8" s="242">
        <v>1</v>
      </c>
      <c r="C8" s="243">
        <v>1</v>
      </c>
      <c r="D8" s="244"/>
      <c r="E8" s="243"/>
      <c r="F8" s="244">
        <v>2</v>
      </c>
      <c r="G8" s="243">
        <v>2</v>
      </c>
      <c r="H8" s="244"/>
      <c r="I8" s="245"/>
      <c r="J8" s="273"/>
      <c r="K8" s="268"/>
      <c r="L8" s="269"/>
      <c r="M8" s="268"/>
      <c r="N8" s="269"/>
      <c r="O8" s="268"/>
      <c r="P8" s="270"/>
      <c r="Q8" s="271"/>
      <c r="T8" s="248"/>
      <c r="X8" s="172"/>
      <c r="Y8" s="172"/>
    </row>
    <row r="9" spans="1:43" ht="19.5" customHeight="1" x14ac:dyDescent="0.2">
      <c r="A9" s="182" t="s">
        <v>234</v>
      </c>
      <c r="B9" s="242"/>
      <c r="C9" s="243"/>
      <c r="D9" s="244">
        <v>46</v>
      </c>
      <c r="E9" s="243">
        <v>45</v>
      </c>
      <c r="F9" s="244"/>
      <c r="G9" s="243"/>
      <c r="H9" s="244"/>
      <c r="I9" s="245"/>
      <c r="J9" s="273"/>
      <c r="K9" s="268"/>
      <c r="L9" s="269"/>
      <c r="M9" s="268"/>
      <c r="N9" s="269"/>
      <c r="O9" s="268"/>
      <c r="P9" s="270"/>
      <c r="Q9" s="271"/>
      <c r="T9" s="248"/>
      <c r="X9" s="172"/>
      <c r="Y9" s="172"/>
    </row>
    <row r="10" spans="1:43" ht="19.5" customHeight="1" x14ac:dyDescent="0.2">
      <c r="A10" s="182" t="s">
        <v>235</v>
      </c>
      <c r="B10" s="242">
        <v>5</v>
      </c>
      <c r="C10" s="243">
        <v>4</v>
      </c>
      <c r="D10" s="244"/>
      <c r="E10" s="243"/>
      <c r="F10" s="244"/>
      <c r="G10" s="243"/>
      <c r="H10" s="244"/>
      <c r="I10" s="245"/>
      <c r="J10" s="273"/>
      <c r="K10" s="268"/>
      <c r="L10" s="269"/>
      <c r="M10" s="268"/>
      <c r="N10" s="269"/>
      <c r="O10" s="268"/>
      <c r="P10" s="270"/>
      <c r="Q10" s="271"/>
      <c r="T10" s="248"/>
      <c r="X10" s="172"/>
      <c r="Y10" s="172"/>
    </row>
    <row r="11" spans="1:43" ht="19.5" customHeight="1" thickBot="1" x14ac:dyDescent="0.25">
      <c r="A11" s="252" t="s">
        <v>3</v>
      </c>
      <c r="B11" s="253">
        <f t="shared" ref="B11:Q11" si="1">SUM(B4:B10)</f>
        <v>45</v>
      </c>
      <c r="C11" s="254">
        <f t="shared" si="1"/>
        <v>42</v>
      </c>
      <c r="D11" s="255">
        <f t="shared" si="1"/>
        <v>68</v>
      </c>
      <c r="E11" s="254">
        <f t="shared" si="1"/>
        <v>67.13</v>
      </c>
      <c r="F11" s="255">
        <f t="shared" si="1"/>
        <v>104</v>
      </c>
      <c r="G11" s="256">
        <f t="shared" si="1"/>
        <v>112.21</v>
      </c>
      <c r="H11" s="272">
        <f t="shared" si="1"/>
        <v>33</v>
      </c>
      <c r="I11" s="254">
        <f t="shared" si="1"/>
        <v>33.92</v>
      </c>
      <c r="J11" s="253">
        <f t="shared" si="1"/>
        <v>16.37</v>
      </c>
      <c r="K11" s="254">
        <f t="shared" si="1"/>
        <v>22.83</v>
      </c>
      <c r="L11" s="255">
        <f t="shared" si="1"/>
        <v>0.57999999999999996</v>
      </c>
      <c r="M11" s="254">
        <f t="shared" si="1"/>
        <v>0.2</v>
      </c>
      <c r="N11" s="255">
        <f t="shared" si="1"/>
        <v>12.12</v>
      </c>
      <c r="O11" s="256">
        <f t="shared" si="1"/>
        <v>10.65</v>
      </c>
      <c r="P11" s="272">
        <f t="shared" si="1"/>
        <v>3.5</v>
      </c>
      <c r="Q11" s="257">
        <f t="shared" si="1"/>
        <v>4.25</v>
      </c>
      <c r="T11" s="248"/>
      <c r="X11" s="172"/>
      <c r="Y11" s="172"/>
    </row>
    <row r="12" spans="1:43" ht="13.5" customHeight="1" thickBot="1" x14ac:dyDescent="0.25">
      <c r="T12" s="248"/>
      <c r="X12" s="172"/>
      <c r="Y12" s="172"/>
    </row>
    <row r="13" spans="1:43" ht="24" customHeight="1" x14ac:dyDescent="0.2">
      <c r="A13" s="636" t="s">
        <v>223</v>
      </c>
      <c r="B13" s="624" t="s">
        <v>236</v>
      </c>
      <c r="C13" s="616"/>
      <c r="D13" s="616"/>
      <c r="E13" s="616"/>
      <c r="F13" s="616"/>
      <c r="G13" s="616"/>
      <c r="H13" s="616"/>
      <c r="I13" s="617"/>
      <c r="J13" s="613" t="s">
        <v>3</v>
      </c>
      <c r="K13" s="614"/>
      <c r="L13" s="614"/>
      <c r="M13" s="614"/>
      <c r="N13" s="614"/>
      <c r="O13" s="614"/>
      <c r="P13" s="614"/>
      <c r="Q13" s="615"/>
      <c r="R13" s="639" t="s">
        <v>3</v>
      </c>
      <c r="S13" s="640"/>
      <c r="T13" s="643" t="s">
        <v>237</v>
      </c>
      <c r="U13" s="644"/>
    </row>
    <row r="14" spans="1:43" ht="24" customHeight="1" x14ac:dyDescent="0.2">
      <c r="A14" s="637"/>
      <c r="B14" s="630" t="s">
        <v>226</v>
      </c>
      <c r="C14" s="631"/>
      <c r="D14" s="632" t="s">
        <v>227</v>
      </c>
      <c r="E14" s="631"/>
      <c r="F14" s="632" t="s">
        <v>228</v>
      </c>
      <c r="G14" s="631"/>
      <c r="H14" s="619" t="s">
        <v>229</v>
      </c>
      <c r="I14" s="635"/>
      <c r="J14" s="634" t="s">
        <v>226</v>
      </c>
      <c r="K14" s="619"/>
      <c r="L14" s="619" t="s">
        <v>227</v>
      </c>
      <c r="M14" s="619"/>
      <c r="N14" s="619" t="s">
        <v>228</v>
      </c>
      <c r="O14" s="619"/>
      <c r="P14" s="619" t="s">
        <v>229</v>
      </c>
      <c r="Q14" s="635"/>
      <c r="R14" s="641"/>
      <c r="S14" s="642"/>
      <c r="T14" s="645"/>
      <c r="U14" s="646"/>
    </row>
    <row r="15" spans="1:43" s="230" customFormat="1" ht="24" customHeight="1" x14ac:dyDescent="0.2">
      <c r="A15" s="638"/>
      <c r="B15" s="238" t="str">
        <f t="shared" ref="B15:G15" si="2">B3</f>
        <v>2016 terv</v>
      </c>
      <c r="C15" s="240" t="str">
        <f t="shared" si="2"/>
        <v>2016          tény</v>
      </c>
      <c r="D15" s="258" t="str">
        <f t="shared" si="2"/>
        <v>2016 terv</v>
      </c>
      <c r="E15" s="240" t="str">
        <f t="shared" si="2"/>
        <v>2016          tény</v>
      </c>
      <c r="F15" s="258" t="str">
        <f t="shared" si="2"/>
        <v>2016 terv</v>
      </c>
      <c r="G15" s="240" t="str">
        <f t="shared" si="2"/>
        <v>2016          tény</v>
      </c>
      <c r="H15" s="577" t="str">
        <f t="shared" ref="H15:I15" si="3">F15</f>
        <v>2016 terv</v>
      </c>
      <c r="I15" s="241" t="str">
        <f t="shared" si="3"/>
        <v>2016          tény</v>
      </c>
      <c r="J15" s="238" t="str">
        <f t="shared" ref="J15:O15" si="4">L3</f>
        <v>2016 terv</v>
      </c>
      <c r="K15" s="240" t="str">
        <f t="shared" si="4"/>
        <v>2016          tény</v>
      </c>
      <c r="L15" s="258" t="str">
        <f t="shared" si="4"/>
        <v>2016 terv</v>
      </c>
      <c r="M15" s="240" t="str">
        <f t="shared" si="4"/>
        <v>2016          tény</v>
      </c>
      <c r="N15" s="258" t="str">
        <f t="shared" si="4"/>
        <v>2016 terv</v>
      </c>
      <c r="O15" s="240" t="str">
        <f t="shared" si="4"/>
        <v>2016          tény</v>
      </c>
      <c r="P15" s="258" t="str">
        <f t="shared" ref="P15:U15" si="5">N15</f>
        <v>2016 terv</v>
      </c>
      <c r="Q15" s="240" t="str">
        <f t="shared" si="5"/>
        <v>2016          tény</v>
      </c>
      <c r="R15" s="238" t="str">
        <f t="shared" si="5"/>
        <v>2016 terv</v>
      </c>
      <c r="S15" s="240" t="str">
        <f t="shared" si="5"/>
        <v>2016          tény</v>
      </c>
      <c r="T15" s="576" t="str">
        <f t="shared" si="5"/>
        <v>2016 terv</v>
      </c>
      <c r="U15" s="241" t="str">
        <f t="shared" si="5"/>
        <v>2016          tény</v>
      </c>
    </row>
    <row r="16" spans="1:43" s="230" customFormat="1" ht="19.5" customHeight="1" x14ac:dyDescent="0.2">
      <c r="A16" s="182" t="s">
        <v>230</v>
      </c>
      <c r="B16" s="242"/>
      <c r="C16" s="243"/>
      <c r="D16" s="244"/>
      <c r="E16" s="243"/>
      <c r="F16" s="244"/>
      <c r="G16" s="243"/>
      <c r="H16" s="246"/>
      <c r="I16" s="247"/>
      <c r="J16" s="259">
        <f>SUM(B4,J4,B16)</f>
        <v>0</v>
      </c>
      <c r="K16" s="260"/>
      <c r="L16" s="261">
        <f t="shared" ref="L16:Q22" si="6">SUM(D4,L4,D16)</f>
        <v>8</v>
      </c>
      <c r="M16" s="262">
        <f t="shared" si="6"/>
        <v>8</v>
      </c>
      <c r="N16" s="261">
        <f t="shared" si="6"/>
        <v>0</v>
      </c>
      <c r="O16" s="262">
        <f t="shared" si="6"/>
        <v>0</v>
      </c>
      <c r="P16" s="261">
        <f t="shared" si="6"/>
        <v>10.25</v>
      </c>
      <c r="Q16" s="262">
        <f t="shared" si="6"/>
        <v>10</v>
      </c>
      <c r="R16" s="263">
        <f t="shared" ref="R16:S22" si="7">IF(SUM(J16,L16,N16,P16)&gt;0,SUM(J16,L16,N16,P16),"")</f>
        <v>18.25</v>
      </c>
      <c r="S16" s="264">
        <f t="shared" si="7"/>
        <v>18</v>
      </c>
      <c r="T16" s="265">
        <v>0.5</v>
      </c>
      <c r="U16" s="247">
        <v>0.4</v>
      </c>
      <c r="Z16" s="172"/>
      <c r="AA16" s="172"/>
      <c r="AB16" s="172"/>
      <c r="AC16" s="172"/>
      <c r="AD16" s="172"/>
      <c r="AE16" s="172"/>
      <c r="AF16" s="172"/>
      <c r="AG16" s="172"/>
      <c r="AH16" s="172"/>
      <c r="AI16" s="172"/>
      <c r="AJ16" s="172"/>
      <c r="AK16" s="172"/>
      <c r="AL16" s="172"/>
      <c r="AM16" s="172"/>
      <c r="AN16" s="172"/>
      <c r="AO16" s="172"/>
      <c r="AP16" s="172"/>
      <c r="AQ16" s="172"/>
    </row>
    <row r="17" spans="1:43" s="230" customFormat="1" ht="19.5" customHeight="1" x14ac:dyDescent="0.2">
      <c r="A17" s="182" t="s">
        <v>231</v>
      </c>
      <c r="B17" s="242"/>
      <c r="C17" s="243"/>
      <c r="D17" s="244"/>
      <c r="E17" s="243"/>
      <c r="F17" s="244"/>
      <c r="G17" s="243"/>
      <c r="H17" s="246"/>
      <c r="I17" s="247"/>
      <c r="J17" s="259">
        <f t="shared" ref="J17:J22" si="8">SUM(B5,J5,B17)</f>
        <v>0</v>
      </c>
      <c r="K17" s="260"/>
      <c r="L17" s="261">
        <f t="shared" si="6"/>
        <v>1</v>
      </c>
      <c r="M17" s="262">
        <f t="shared" si="6"/>
        <v>1.67</v>
      </c>
      <c r="N17" s="261">
        <f>SUM(F5,N5,F17)</f>
        <v>0</v>
      </c>
      <c r="O17" s="262">
        <f>SUM(G5,O5,G17)</f>
        <v>0</v>
      </c>
      <c r="P17" s="261">
        <f>SUM(H5,P5,H17)</f>
        <v>1</v>
      </c>
      <c r="Q17" s="262">
        <f>SUM(I5,Q5,I17)</f>
        <v>1</v>
      </c>
      <c r="R17" s="263">
        <f t="shared" si="7"/>
        <v>2</v>
      </c>
      <c r="S17" s="264">
        <f t="shared" si="7"/>
        <v>2.67</v>
      </c>
      <c r="T17" s="265"/>
      <c r="U17" s="247"/>
      <c r="Z17" s="172"/>
      <c r="AA17" s="172"/>
      <c r="AB17" s="172"/>
      <c r="AC17" s="172"/>
      <c r="AD17" s="172"/>
      <c r="AE17" s="172"/>
      <c r="AF17" s="172"/>
      <c r="AG17" s="172"/>
      <c r="AH17" s="172"/>
      <c r="AI17" s="172"/>
      <c r="AJ17" s="172"/>
      <c r="AK17" s="172"/>
      <c r="AL17" s="172"/>
      <c r="AM17" s="172"/>
      <c r="AN17" s="172"/>
      <c r="AO17" s="172"/>
      <c r="AP17" s="172"/>
      <c r="AQ17" s="172"/>
    </row>
    <row r="18" spans="1:43" s="230" customFormat="1" ht="19.5" customHeight="1" x14ac:dyDescent="0.2">
      <c r="A18" s="182" t="s">
        <v>232</v>
      </c>
      <c r="B18" s="242">
        <v>3.23</v>
      </c>
      <c r="C18" s="243">
        <v>2.33</v>
      </c>
      <c r="D18" s="244">
        <v>0.2</v>
      </c>
      <c r="E18" s="243">
        <v>0.2</v>
      </c>
      <c r="F18" s="244"/>
      <c r="G18" s="243"/>
      <c r="H18" s="246"/>
      <c r="I18" s="247"/>
      <c r="J18" s="259">
        <f t="shared" si="8"/>
        <v>56.199999999999996</v>
      </c>
      <c r="K18" s="260">
        <f>C6+K6+C18</f>
        <v>59.76</v>
      </c>
      <c r="L18" s="261">
        <f t="shared" si="6"/>
        <v>12.78</v>
      </c>
      <c r="M18" s="262">
        <f t="shared" si="6"/>
        <v>11.86</v>
      </c>
      <c r="N18" s="261">
        <f t="shared" si="6"/>
        <v>108.12</v>
      </c>
      <c r="O18" s="262">
        <f t="shared" si="6"/>
        <v>114.86</v>
      </c>
      <c r="P18" s="261">
        <f t="shared" si="6"/>
        <v>23.25</v>
      </c>
      <c r="Q18" s="262">
        <f t="shared" si="6"/>
        <v>25.25</v>
      </c>
      <c r="R18" s="263">
        <f>IF(SUM(J18,L18,N18,P18)&gt;0,SUM(J18,L18,N18,P18),"")</f>
        <v>200.35</v>
      </c>
      <c r="S18" s="264">
        <f t="shared" si="7"/>
        <v>211.73000000000002</v>
      </c>
      <c r="T18" s="265">
        <v>0.4</v>
      </c>
      <c r="U18" s="247">
        <v>1.4</v>
      </c>
      <c r="Z18" s="172"/>
      <c r="AA18" s="172"/>
      <c r="AB18" s="172"/>
      <c r="AC18" s="172"/>
      <c r="AD18" s="172"/>
      <c r="AE18" s="172"/>
      <c r="AF18" s="172"/>
      <c r="AG18" s="172"/>
      <c r="AH18" s="172"/>
      <c r="AI18" s="172"/>
      <c r="AJ18" s="172"/>
      <c r="AK18" s="172"/>
      <c r="AL18" s="172"/>
      <c r="AM18" s="172"/>
      <c r="AN18" s="172"/>
      <c r="AO18" s="172"/>
      <c r="AP18" s="172"/>
      <c r="AQ18" s="172"/>
    </row>
    <row r="19" spans="1:43" s="230" customFormat="1" ht="19.5" customHeight="1" x14ac:dyDescent="0.2">
      <c r="A19" s="250" t="s">
        <v>233</v>
      </c>
      <c r="B19" s="242"/>
      <c r="C19" s="243"/>
      <c r="D19" s="244"/>
      <c r="E19" s="243"/>
      <c r="F19" s="244"/>
      <c r="G19" s="243"/>
      <c r="H19" s="246"/>
      <c r="I19" s="247"/>
      <c r="J19" s="259">
        <f t="shared" si="8"/>
        <v>2.4</v>
      </c>
      <c r="K19" s="260">
        <f>C7+K7+C19</f>
        <v>2.4</v>
      </c>
      <c r="L19" s="261">
        <f t="shared" si="6"/>
        <v>1</v>
      </c>
      <c r="M19" s="262">
        <f t="shared" si="6"/>
        <v>1</v>
      </c>
      <c r="N19" s="261">
        <f t="shared" si="6"/>
        <v>6</v>
      </c>
      <c r="O19" s="262">
        <f t="shared" si="6"/>
        <v>6</v>
      </c>
      <c r="P19" s="261">
        <f t="shared" si="6"/>
        <v>2</v>
      </c>
      <c r="Q19" s="262">
        <f t="shared" si="6"/>
        <v>1.92</v>
      </c>
      <c r="R19" s="263">
        <f t="shared" si="7"/>
        <v>11.4</v>
      </c>
      <c r="S19" s="264">
        <f t="shared" si="7"/>
        <v>11.32</v>
      </c>
      <c r="T19" s="265"/>
      <c r="U19" s="578"/>
      <c r="Z19" s="172"/>
      <c r="AA19" s="172"/>
      <c r="AB19" s="172"/>
      <c r="AC19" s="172"/>
      <c r="AD19" s="172"/>
      <c r="AE19" s="172"/>
      <c r="AF19" s="172"/>
      <c r="AG19" s="172"/>
      <c r="AH19" s="172"/>
      <c r="AI19" s="172"/>
      <c r="AJ19" s="172"/>
      <c r="AK19" s="172"/>
      <c r="AL19" s="172"/>
      <c r="AM19" s="172"/>
      <c r="AN19" s="172"/>
      <c r="AO19" s="172"/>
      <c r="AP19" s="172"/>
      <c r="AQ19" s="172"/>
    </row>
    <row r="20" spans="1:43" s="230" customFormat="1" ht="19.5" customHeight="1" x14ac:dyDescent="0.2">
      <c r="A20" s="250" t="s">
        <v>164</v>
      </c>
      <c r="B20" s="242">
        <v>1</v>
      </c>
      <c r="C20" s="243">
        <v>1</v>
      </c>
      <c r="D20" s="244"/>
      <c r="E20" s="243"/>
      <c r="F20" s="244"/>
      <c r="G20" s="243"/>
      <c r="H20" s="246"/>
      <c r="I20" s="247"/>
      <c r="J20" s="259">
        <f t="shared" si="8"/>
        <v>2</v>
      </c>
      <c r="K20" s="260">
        <f>C8+K8+C20</f>
        <v>2</v>
      </c>
      <c r="L20" s="261">
        <f t="shared" si="6"/>
        <v>0</v>
      </c>
      <c r="M20" s="262">
        <f t="shared" si="6"/>
        <v>0</v>
      </c>
      <c r="N20" s="261">
        <f t="shared" si="6"/>
        <v>2</v>
      </c>
      <c r="O20" s="262">
        <f t="shared" si="6"/>
        <v>2</v>
      </c>
      <c r="P20" s="261">
        <f t="shared" si="6"/>
        <v>0</v>
      </c>
      <c r="Q20" s="262">
        <f t="shared" si="6"/>
        <v>0</v>
      </c>
      <c r="R20" s="263">
        <f t="shared" si="7"/>
        <v>4</v>
      </c>
      <c r="S20" s="264">
        <f t="shared" si="7"/>
        <v>4</v>
      </c>
      <c r="T20" s="265"/>
      <c r="U20" s="247"/>
      <c r="Z20" s="172"/>
      <c r="AA20" s="172"/>
      <c r="AB20" s="172"/>
      <c r="AC20" s="172"/>
      <c r="AD20" s="172"/>
      <c r="AE20" s="172"/>
      <c r="AF20" s="172"/>
      <c r="AG20" s="172"/>
      <c r="AH20" s="172"/>
      <c r="AI20" s="172"/>
      <c r="AJ20" s="172"/>
      <c r="AK20" s="172"/>
      <c r="AL20" s="172"/>
      <c r="AM20" s="172"/>
      <c r="AN20" s="172"/>
      <c r="AO20" s="172"/>
      <c r="AP20" s="172"/>
      <c r="AQ20" s="172"/>
    </row>
    <row r="21" spans="1:43" s="230" customFormat="1" ht="19.5" customHeight="1" x14ac:dyDescent="0.2">
      <c r="A21" s="182" t="s">
        <v>234</v>
      </c>
      <c r="B21" s="242"/>
      <c r="C21" s="243"/>
      <c r="D21" s="244"/>
      <c r="E21" s="243"/>
      <c r="F21" s="244"/>
      <c r="G21" s="243"/>
      <c r="H21" s="246"/>
      <c r="I21" s="247"/>
      <c r="J21" s="259">
        <f t="shared" si="8"/>
        <v>0</v>
      </c>
      <c r="K21" s="260">
        <f t="shared" ref="K21:K22" si="9">C9+K9+C21</f>
        <v>0</v>
      </c>
      <c r="L21" s="261">
        <f t="shared" si="6"/>
        <v>46</v>
      </c>
      <c r="M21" s="262">
        <f t="shared" si="6"/>
        <v>45</v>
      </c>
      <c r="N21" s="261">
        <f t="shared" si="6"/>
        <v>0</v>
      </c>
      <c r="O21" s="262">
        <f t="shared" si="6"/>
        <v>0</v>
      </c>
      <c r="P21" s="261">
        <f t="shared" si="6"/>
        <v>0</v>
      </c>
      <c r="Q21" s="262">
        <f t="shared" si="6"/>
        <v>0</v>
      </c>
      <c r="R21" s="263">
        <f t="shared" si="7"/>
        <v>46</v>
      </c>
      <c r="S21" s="264">
        <f t="shared" si="7"/>
        <v>45</v>
      </c>
      <c r="T21" s="265">
        <v>0.2</v>
      </c>
      <c r="U21" s="247">
        <v>0.2</v>
      </c>
      <c r="Z21" s="172"/>
      <c r="AA21" s="172"/>
      <c r="AB21" s="172"/>
      <c r="AC21" s="172"/>
      <c r="AD21" s="172"/>
      <c r="AE21" s="172"/>
      <c r="AF21" s="172"/>
      <c r="AG21" s="172"/>
      <c r="AH21" s="172"/>
      <c r="AI21" s="172"/>
      <c r="AJ21" s="172"/>
      <c r="AK21" s="172"/>
      <c r="AL21" s="172"/>
      <c r="AM21" s="172"/>
      <c r="AN21" s="172"/>
      <c r="AO21" s="172"/>
      <c r="AP21" s="172"/>
      <c r="AQ21" s="172"/>
    </row>
    <row r="22" spans="1:43" s="230" customFormat="1" ht="19.5" customHeight="1" x14ac:dyDescent="0.2">
      <c r="A22" s="182" t="s">
        <v>235</v>
      </c>
      <c r="B22" s="242"/>
      <c r="C22" s="243"/>
      <c r="D22" s="244"/>
      <c r="E22" s="243"/>
      <c r="F22" s="244"/>
      <c r="G22" s="243"/>
      <c r="H22" s="246"/>
      <c r="I22" s="247"/>
      <c r="J22" s="259">
        <f t="shared" si="8"/>
        <v>5</v>
      </c>
      <c r="K22" s="260">
        <f t="shared" si="9"/>
        <v>4</v>
      </c>
      <c r="L22" s="261">
        <f t="shared" si="6"/>
        <v>0</v>
      </c>
      <c r="M22" s="262">
        <f t="shared" si="6"/>
        <v>0</v>
      </c>
      <c r="N22" s="261">
        <f t="shared" si="6"/>
        <v>0</v>
      </c>
      <c r="O22" s="262">
        <f t="shared" si="6"/>
        <v>0</v>
      </c>
      <c r="P22" s="261">
        <f t="shared" si="6"/>
        <v>0</v>
      </c>
      <c r="Q22" s="262">
        <f t="shared" si="6"/>
        <v>0</v>
      </c>
      <c r="R22" s="263">
        <f t="shared" si="7"/>
        <v>5</v>
      </c>
      <c r="S22" s="264">
        <f t="shared" si="7"/>
        <v>4</v>
      </c>
      <c r="T22" s="265"/>
      <c r="U22" s="247"/>
      <c r="Z22" s="172"/>
      <c r="AA22" s="172"/>
      <c r="AB22" s="172"/>
      <c r="AC22" s="172"/>
      <c r="AD22" s="172"/>
      <c r="AE22" s="172"/>
      <c r="AF22" s="172"/>
      <c r="AG22" s="172"/>
      <c r="AH22" s="172"/>
      <c r="AI22" s="172"/>
      <c r="AJ22" s="172"/>
      <c r="AK22" s="172"/>
      <c r="AL22" s="172"/>
      <c r="AM22" s="172"/>
      <c r="AN22" s="172"/>
      <c r="AO22" s="172"/>
      <c r="AP22" s="172"/>
      <c r="AQ22" s="172"/>
    </row>
    <row r="23" spans="1:43" s="230" customFormat="1" ht="19.5" customHeight="1" thickBot="1" x14ac:dyDescent="0.25">
      <c r="A23" s="252" t="s">
        <v>3</v>
      </c>
      <c r="B23" s="253">
        <f t="shared" ref="B23:Q23" si="10">SUM(B16:B22)</f>
        <v>4.2300000000000004</v>
      </c>
      <c r="C23" s="254">
        <f t="shared" si="10"/>
        <v>3.33</v>
      </c>
      <c r="D23" s="255">
        <f t="shared" si="10"/>
        <v>0.2</v>
      </c>
      <c r="E23" s="254">
        <f t="shared" si="10"/>
        <v>0.2</v>
      </c>
      <c r="F23" s="255">
        <f t="shared" si="10"/>
        <v>0</v>
      </c>
      <c r="G23" s="256">
        <f t="shared" si="10"/>
        <v>0</v>
      </c>
      <c r="H23" s="272">
        <f t="shared" si="10"/>
        <v>0</v>
      </c>
      <c r="I23" s="254">
        <f t="shared" si="10"/>
        <v>0</v>
      </c>
      <c r="J23" s="253">
        <f t="shared" si="10"/>
        <v>65.599999999999994</v>
      </c>
      <c r="K23" s="254">
        <f t="shared" si="10"/>
        <v>68.16</v>
      </c>
      <c r="L23" s="255">
        <f t="shared" si="10"/>
        <v>68.78</v>
      </c>
      <c r="M23" s="256">
        <f t="shared" si="10"/>
        <v>67.53</v>
      </c>
      <c r="N23" s="255">
        <f t="shared" si="10"/>
        <v>116.12</v>
      </c>
      <c r="O23" s="254">
        <f t="shared" si="10"/>
        <v>122.86</v>
      </c>
      <c r="P23" s="255">
        <f t="shared" si="10"/>
        <v>36.5</v>
      </c>
      <c r="Q23" s="256">
        <f t="shared" si="10"/>
        <v>38.17</v>
      </c>
      <c r="R23" s="253">
        <f>SUM(R16:R22)</f>
        <v>287</v>
      </c>
      <c r="S23" s="254">
        <f>SUM(S16:S22)</f>
        <v>296.72000000000003</v>
      </c>
      <c r="T23" s="266">
        <f>SUM(T16:T22)</f>
        <v>1.1000000000000001</v>
      </c>
      <c r="U23" s="267">
        <f>SUM(U16:U22)</f>
        <v>1.9999999999999998</v>
      </c>
      <c r="Z23" s="172"/>
      <c r="AA23" s="172"/>
      <c r="AB23" s="172"/>
      <c r="AC23" s="172"/>
      <c r="AD23" s="172"/>
      <c r="AE23" s="172"/>
      <c r="AF23" s="172"/>
      <c r="AG23" s="172"/>
      <c r="AH23" s="172"/>
      <c r="AI23" s="172"/>
      <c r="AJ23" s="172"/>
      <c r="AK23" s="172"/>
      <c r="AL23" s="172"/>
      <c r="AM23" s="172"/>
      <c r="AN23" s="172"/>
      <c r="AO23" s="172"/>
      <c r="AP23" s="172"/>
      <c r="AQ23" s="172"/>
    </row>
    <row r="24" spans="1:43" s="230" customFormat="1" ht="13.5" customHeight="1" x14ac:dyDescent="0.2">
      <c r="A24" s="172"/>
      <c r="Z24" s="172"/>
      <c r="AA24" s="172"/>
      <c r="AB24" s="172"/>
      <c r="AC24" s="172"/>
      <c r="AD24" s="172"/>
      <c r="AE24" s="172"/>
      <c r="AF24" s="172"/>
      <c r="AG24" s="172"/>
      <c r="AH24" s="172"/>
      <c r="AI24" s="172"/>
      <c r="AJ24" s="172"/>
      <c r="AK24" s="172"/>
      <c r="AL24" s="172"/>
      <c r="AM24" s="172"/>
      <c r="AN24" s="172"/>
      <c r="AO24" s="172"/>
      <c r="AP24" s="172"/>
      <c r="AQ24" s="172"/>
    </row>
  </sheetData>
  <mergeCells count="24">
    <mergeCell ref="A13:A15"/>
    <mergeCell ref="B13:I13"/>
    <mergeCell ref="J13:Q13"/>
    <mergeCell ref="R13:S14"/>
    <mergeCell ref="T13:U14"/>
    <mergeCell ref="B14:C14"/>
    <mergeCell ref="D14:E14"/>
    <mergeCell ref="F14:G14"/>
    <mergeCell ref="H14:I14"/>
    <mergeCell ref="J14:K14"/>
    <mergeCell ref="L14:M14"/>
    <mergeCell ref="N14:O14"/>
    <mergeCell ref="P14:Q14"/>
    <mergeCell ref="A1:A3"/>
    <mergeCell ref="B1:I1"/>
    <mergeCell ref="J1:Q1"/>
    <mergeCell ref="B2:C2"/>
    <mergeCell ref="D2:E2"/>
    <mergeCell ref="F2:G2"/>
    <mergeCell ref="H2:I2"/>
    <mergeCell ref="J2:K2"/>
    <mergeCell ref="L2:M2"/>
    <mergeCell ref="N2:O2"/>
    <mergeCell ref="P2:Q2"/>
  </mergeCells>
  <conditionalFormatting sqref="R13 V13:IT23 T13 R15:U23 Z24:IV65530 H24:Q65530 R24:Y65517 C14:G65530 R1:S1 T1:IV12 A1:B65530 H14:I23 C1:Q5 J13:Q23 C7:Q12 C6:J6 L6:Q6">
    <cfRule type="cellIs" dxfId="14" priority="2" stopIfTrue="1" operator="equal">
      <formula>0</formula>
    </cfRule>
  </conditionalFormatting>
  <conditionalFormatting sqref="K6">
    <cfRule type="cellIs" dxfId="13" priority="1" stopIfTrue="1" operator="equal">
      <formula>0</formula>
    </cfRule>
  </conditionalFormatting>
  <printOptions horizontalCentered="1" verticalCentered="1"/>
  <pageMargins left="0" right="0" top="0.78740157480314965" bottom="0.59055118110236227" header="0.31496062992125984" footer="0.31496062992125984"/>
  <pageSetup paperSize="9" scale="85" orientation="landscape" r:id="rId1"/>
  <headerFooter alignWithMargins="0">
    <oddHeader>&amp;CXIII. Kerületi Egészségügyi Szolgálat Közhasznú Nonprofit Kft.2016. év állományi létszáma foglalkoztatási jogviszonyok szerinti bontásban&amp;R6. sz. melléklet</oddHeader>
    <oddFooter>&amp;L&amp;D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4"/>
  <sheetViews>
    <sheetView topLeftCell="A18" zoomScaleNormal="100" workbookViewId="0">
      <selection activeCell="H24" sqref="H24"/>
    </sheetView>
  </sheetViews>
  <sheetFormatPr defaultRowHeight="21" customHeight="1" x14ac:dyDescent="0.2"/>
  <cols>
    <col min="1" max="1" width="22.28515625" style="172" customWidth="1"/>
    <col min="2" max="25" width="6.7109375" style="230" customWidth="1"/>
    <col min="26" max="256" width="9.140625" style="172"/>
    <col min="257" max="257" width="22.28515625" style="172" customWidth="1"/>
    <col min="258" max="281" width="6.7109375" style="172" customWidth="1"/>
    <col min="282" max="512" width="9.140625" style="172"/>
    <col min="513" max="513" width="22.28515625" style="172" customWidth="1"/>
    <col min="514" max="537" width="6.7109375" style="172" customWidth="1"/>
    <col min="538" max="768" width="9.140625" style="172"/>
    <col min="769" max="769" width="22.28515625" style="172" customWidth="1"/>
    <col min="770" max="793" width="6.7109375" style="172" customWidth="1"/>
    <col min="794" max="1024" width="9.140625" style="172"/>
    <col min="1025" max="1025" width="22.28515625" style="172" customWidth="1"/>
    <col min="1026" max="1049" width="6.7109375" style="172" customWidth="1"/>
    <col min="1050" max="1280" width="9.140625" style="172"/>
    <col min="1281" max="1281" width="22.28515625" style="172" customWidth="1"/>
    <col min="1282" max="1305" width="6.7109375" style="172" customWidth="1"/>
    <col min="1306" max="1536" width="9.140625" style="172"/>
    <col min="1537" max="1537" width="22.28515625" style="172" customWidth="1"/>
    <col min="1538" max="1561" width="6.7109375" style="172" customWidth="1"/>
    <col min="1562" max="1792" width="9.140625" style="172"/>
    <col min="1793" max="1793" width="22.28515625" style="172" customWidth="1"/>
    <col min="1794" max="1817" width="6.7109375" style="172" customWidth="1"/>
    <col min="1818" max="2048" width="9.140625" style="172"/>
    <col min="2049" max="2049" width="22.28515625" style="172" customWidth="1"/>
    <col min="2050" max="2073" width="6.7109375" style="172" customWidth="1"/>
    <col min="2074" max="2304" width="9.140625" style="172"/>
    <col min="2305" max="2305" width="22.28515625" style="172" customWidth="1"/>
    <col min="2306" max="2329" width="6.7109375" style="172" customWidth="1"/>
    <col min="2330" max="2560" width="9.140625" style="172"/>
    <col min="2561" max="2561" width="22.28515625" style="172" customWidth="1"/>
    <col min="2562" max="2585" width="6.7109375" style="172" customWidth="1"/>
    <col min="2586" max="2816" width="9.140625" style="172"/>
    <col min="2817" max="2817" width="22.28515625" style="172" customWidth="1"/>
    <col min="2818" max="2841" width="6.7109375" style="172" customWidth="1"/>
    <col min="2842" max="3072" width="9.140625" style="172"/>
    <col min="3073" max="3073" width="22.28515625" style="172" customWidth="1"/>
    <col min="3074" max="3097" width="6.7109375" style="172" customWidth="1"/>
    <col min="3098" max="3328" width="9.140625" style="172"/>
    <col min="3329" max="3329" width="22.28515625" style="172" customWidth="1"/>
    <col min="3330" max="3353" width="6.7109375" style="172" customWidth="1"/>
    <col min="3354" max="3584" width="9.140625" style="172"/>
    <col min="3585" max="3585" width="22.28515625" style="172" customWidth="1"/>
    <col min="3586" max="3609" width="6.7109375" style="172" customWidth="1"/>
    <col min="3610" max="3840" width="9.140625" style="172"/>
    <col min="3841" max="3841" width="22.28515625" style="172" customWidth="1"/>
    <col min="3842" max="3865" width="6.7109375" style="172" customWidth="1"/>
    <col min="3866" max="4096" width="9.140625" style="172"/>
    <col min="4097" max="4097" width="22.28515625" style="172" customWidth="1"/>
    <col min="4098" max="4121" width="6.7109375" style="172" customWidth="1"/>
    <col min="4122" max="4352" width="9.140625" style="172"/>
    <col min="4353" max="4353" width="22.28515625" style="172" customWidth="1"/>
    <col min="4354" max="4377" width="6.7109375" style="172" customWidth="1"/>
    <col min="4378" max="4608" width="9.140625" style="172"/>
    <col min="4609" max="4609" width="22.28515625" style="172" customWidth="1"/>
    <col min="4610" max="4633" width="6.7109375" style="172" customWidth="1"/>
    <col min="4634" max="4864" width="9.140625" style="172"/>
    <col min="4865" max="4865" width="22.28515625" style="172" customWidth="1"/>
    <col min="4866" max="4889" width="6.7109375" style="172" customWidth="1"/>
    <col min="4890" max="5120" width="9.140625" style="172"/>
    <col min="5121" max="5121" width="22.28515625" style="172" customWidth="1"/>
    <col min="5122" max="5145" width="6.7109375" style="172" customWidth="1"/>
    <col min="5146" max="5376" width="9.140625" style="172"/>
    <col min="5377" max="5377" width="22.28515625" style="172" customWidth="1"/>
    <col min="5378" max="5401" width="6.7109375" style="172" customWidth="1"/>
    <col min="5402" max="5632" width="9.140625" style="172"/>
    <col min="5633" max="5633" width="22.28515625" style="172" customWidth="1"/>
    <col min="5634" max="5657" width="6.7109375" style="172" customWidth="1"/>
    <col min="5658" max="5888" width="9.140625" style="172"/>
    <col min="5889" max="5889" width="22.28515625" style="172" customWidth="1"/>
    <col min="5890" max="5913" width="6.7109375" style="172" customWidth="1"/>
    <col min="5914" max="6144" width="9.140625" style="172"/>
    <col min="6145" max="6145" width="22.28515625" style="172" customWidth="1"/>
    <col min="6146" max="6169" width="6.7109375" style="172" customWidth="1"/>
    <col min="6170" max="6400" width="9.140625" style="172"/>
    <col min="6401" max="6401" width="22.28515625" style="172" customWidth="1"/>
    <col min="6402" max="6425" width="6.7109375" style="172" customWidth="1"/>
    <col min="6426" max="6656" width="9.140625" style="172"/>
    <col min="6657" max="6657" width="22.28515625" style="172" customWidth="1"/>
    <col min="6658" max="6681" width="6.7109375" style="172" customWidth="1"/>
    <col min="6682" max="6912" width="9.140625" style="172"/>
    <col min="6913" max="6913" width="22.28515625" style="172" customWidth="1"/>
    <col min="6914" max="6937" width="6.7109375" style="172" customWidth="1"/>
    <col min="6938" max="7168" width="9.140625" style="172"/>
    <col min="7169" max="7169" width="22.28515625" style="172" customWidth="1"/>
    <col min="7170" max="7193" width="6.7109375" style="172" customWidth="1"/>
    <col min="7194" max="7424" width="9.140625" style="172"/>
    <col min="7425" max="7425" width="22.28515625" style="172" customWidth="1"/>
    <col min="7426" max="7449" width="6.7109375" style="172" customWidth="1"/>
    <col min="7450" max="7680" width="9.140625" style="172"/>
    <col min="7681" max="7681" width="22.28515625" style="172" customWidth="1"/>
    <col min="7682" max="7705" width="6.7109375" style="172" customWidth="1"/>
    <col min="7706" max="7936" width="9.140625" style="172"/>
    <col min="7937" max="7937" width="22.28515625" style="172" customWidth="1"/>
    <col min="7938" max="7961" width="6.7109375" style="172" customWidth="1"/>
    <col min="7962" max="8192" width="9.140625" style="172"/>
    <col min="8193" max="8193" width="22.28515625" style="172" customWidth="1"/>
    <col min="8194" max="8217" width="6.7109375" style="172" customWidth="1"/>
    <col min="8218" max="8448" width="9.140625" style="172"/>
    <col min="8449" max="8449" width="22.28515625" style="172" customWidth="1"/>
    <col min="8450" max="8473" width="6.7109375" style="172" customWidth="1"/>
    <col min="8474" max="8704" width="9.140625" style="172"/>
    <col min="8705" max="8705" width="22.28515625" style="172" customWidth="1"/>
    <col min="8706" max="8729" width="6.7109375" style="172" customWidth="1"/>
    <col min="8730" max="8960" width="9.140625" style="172"/>
    <col min="8961" max="8961" width="22.28515625" style="172" customWidth="1"/>
    <col min="8962" max="8985" width="6.7109375" style="172" customWidth="1"/>
    <col min="8986" max="9216" width="9.140625" style="172"/>
    <col min="9217" max="9217" width="22.28515625" style="172" customWidth="1"/>
    <col min="9218" max="9241" width="6.7109375" style="172" customWidth="1"/>
    <col min="9242" max="9472" width="9.140625" style="172"/>
    <col min="9473" max="9473" width="22.28515625" style="172" customWidth="1"/>
    <col min="9474" max="9497" width="6.7109375" style="172" customWidth="1"/>
    <col min="9498" max="9728" width="9.140625" style="172"/>
    <col min="9729" max="9729" width="22.28515625" style="172" customWidth="1"/>
    <col min="9730" max="9753" width="6.7109375" style="172" customWidth="1"/>
    <col min="9754" max="9984" width="9.140625" style="172"/>
    <col min="9985" max="9985" width="22.28515625" style="172" customWidth="1"/>
    <col min="9986" max="10009" width="6.7109375" style="172" customWidth="1"/>
    <col min="10010" max="10240" width="9.140625" style="172"/>
    <col min="10241" max="10241" width="22.28515625" style="172" customWidth="1"/>
    <col min="10242" max="10265" width="6.7109375" style="172" customWidth="1"/>
    <col min="10266" max="10496" width="9.140625" style="172"/>
    <col min="10497" max="10497" width="22.28515625" style="172" customWidth="1"/>
    <col min="10498" max="10521" width="6.7109375" style="172" customWidth="1"/>
    <col min="10522" max="10752" width="9.140625" style="172"/>
    <col min="10753" max="10753" width="22.28515625" style="172" customWidth="1"/>
    <col min="10754" max="10777" width="6.7109375" style="172" customWidth="1"/>
    <col min="10778" max="11008" width="9.140625" style="172"/>
    <col min="11009" max="11009" width="22.28515625" style="172" customWidth="1"/>
    <col min="11010" max="11033" width="6.7109375" style="172" customWidth="1"/>
    <col min="11034" max="11264" width="9.140625" style="172"/>
    <col min="11265" max="11265" width="22.28515625" style="172" customWidth="1"/>
    <col min="11266" max="11289" width="6.7109375" style="172" customWidth="1"/>
    <col min="11290" max="11520" width="9.140625" style="172"/>
    <col min="11521" max="11521" width="22.28515625" style="172" customWidth="1"/>
    <col min="11522" max="11545" width="6.7109375" style="172" customWidth="1"/>
    <col min="11546" max="11776" width="9.140625" style="172"/>
    <col min="11777" max="11777" width="22.28515625" style="172" customWidth="1"/>
    <col min="11778" max="11801" width="6.7109375" style="172" customWidth="1"/>
    <col min="11802" max="12032" width="9.140625" style="172"/>
    <col min="12033" max="12033" width="22.28515625" style="172" customWidth="1"/>
    <col min="12034" max="12057" width="6.7109375" style="172" customWidth="1"/>
    <col min="12058" max="12288" width="9.140625" style="172"/>
    <col min="12289" max="12289" width="22.28515625" style="172" customWidth="1"/>
    <col min="12290" max="12313" width="6.7109375" style="172" customWidth="1"/>
    <col min="12314" max="12544" width="9.140625" style="172"/>
    <col min="12545" max="12545" width="22.28515625" style="172" customWidth="1"/>
    <col min="12546" max="12569" width="6.7109375" style="172" customWidth="1"/>
    <col min="12570" max="12800" width="9.140625" style="172"/>
    <col min="12801" max="12801" width="22.28515625" style="172" customWidth="1"/>
    <col min="12802" max="12825" width="6.7109375" style="172" customWidth="1"/>
    <col min="12826" max="13056" width="9.140625" style="172"/>
    <col min="13057" max="13057" width="22.28515625" style="172" customWidth="1"/>
    <col min="13058" max="13081" width="6.7109375" style="172" customWidth="1"/>
    <col min="13082" max="13312" width="9.140625" style="172"/>
    <col min="13313" max="13313" width="22.28515625" style="172" customWidth="1"/>
    <col min="13314" max="13337" width="6.7109375" style="172" customWidth="1"/>
    <col min="13338" max="13568" width="9.140625" style="172"/>
    <col min="13569" max="13569" width="22.28515625" style="172" customWidth="1"/>
    <col min="13570" max="13593" width="6.7109375" style="172" customWidth="1"/>
    <col min="13594" max="13824" width="9.140625" style="172"/>
    <col min="13825" max="13825" width="22.28515625" style="172" customWidth="1"/>
    <col min="13826" max="13849" width="6.7109375" style="172" customWidth="1"/>
    <col min="13850" max="14080" width="9.140625" style="172"/>
    <col min="14081" max="14081" width="22.28515625" style="172" customWidth="1"/>
    <col min="14082" max="14105" width="6.7109375" style="172" customWidth="1"/>
    <col min="14106" max="14336" width="9.140625" style="172"/>
    <col min="14337" max="14337" width="22.28515625" style="172" customWidth="1"/>
    <col min="14338" max="14361" width="6.7109375" style="172" customWidth="1"/>
    <col min="14362" max="14592" width="9.140625" style="172"/>
    <col min="14593" max="14593" width="22.28515625" style="172" customWidth="1"/>
    <col min="14594" max="14617" width="6.7109375" style="172" customWidth="1"/>
    <col min="14618" max="14848" width="9.140625" style="172"/>
    <col min="14849" max="14849" width="22.28515625" style="172" customWidth="1"/>
    <col min="14850" max="14873" width="6.7109375" style="172" customWidth="1"/>
    <col min="14874" max="15104" width="9.140625" style="172"/>
    <col min="15105" max="15105" width="22.28515625" style="172" customWidth="1"/>
    <col min="15106" max="15129" width="6.7109375" style="172" customWidth="1"/>
    <col min="15130" max="15360" width="9.140625" style="172"/>
    <col min="15361" max="15361" width="22.28515625" style="172" customWidth="1"/>
    <col min="15362" max="15385" width="6.7109375" style="172" customWidth="1"/>
    <col min="15386" max="15616" width="9.140625" style="172"/>
    <col min="15617" max="15617" width="22.28515625" style="172" customWidth="1"/>
    <col min="15618" max="15641" width="6.7109375" style="172" customWidth="1"/>
    <col min="15642" max="15872" width="9.140625" style="172"/>
    <col min="15873" max="15873" width="22.28515625" style="172" customWidth="1"/>
    <col min="15874" max="15897" width="6.7109375" style="172" customWidth="1"/>
    <col min="15898" max="16128" width="9.140625" style="172"/>
    <col min="16129" max="16129" width="22.28515625" style="172" customWidth="1"/>
    <col min="16130" max="16153" width="6.7109375" style="172" customWidth="1"/>
    <col min="16154" max="16384" width="9.140625" style="172"/>
  </cols>
  <sheetData>
    <row r="1" spans="1:43" ht="19.5" customHeight="1" x14ac:dyDescent="0.2">
      <c r="A1" s="611" t="s">
        <v>223</v>
      </c>
      <c r="B1" s="624" t="s">
        <v>224</v>
      </c>
      <c r="C1" s="616"/>
      <c r="D1" s="616"/>
      <c r="E1" s="616"/>
      <c r="F1" s="616"/>
      <c r="G1" s="616"/>
      <c r="H1" s="616"/>
      <c r="I1" s="617"/>
      <c r="J1" s="613" t="s">
        <v>225</v>
      </c>
      <c r="K1" s="614"/>
      <c r="L1" s="614"/>
      <c r="M1" s="614"/>
      <c r="N1" s="614"/>
      <c r="O1" s="614"/>
      <c r="P1" s="614"/>
      <c r="Q1" s="615"/>
      <c r="Z1" s="230"/>
      <c r="AA1" s="230"/>
      <c r="AB1" s="230"/>
      <c r="AC1" s="230"/>
      <c r="AD1" s="230"/>
      <c r="AE1" s="230"/>
      <c r="AF1" s="230"/>
      <c r="AG1" s="230"/>
      <c r="AH1" s="230"/>
      <c r="AI1" s="230"/>
      <c r="AJ1" s="230"/>
      <c r="AK1" s="230"/>
      <c r="AL1" s="230"/>
      <c r="AN1" s="230"/>
      <c r="AO1" s="230"/>
      <c r="AP1" s="230"/>
      <c r="AQ1" s="230"/>
    </row>
    <row r="2" spans="1:43" ht="24" customHeight="1" x14ac:dyDescent="0.2">
      <c r="A2" s="628"/>
      <c r="B2" s="630" t="s">
        <v>226</v>
      </c>
      <c r="C2" s="631"/>
      <c r="D2" s="632" t="s">
        <v>227</v>
      </c>
      <c r="E2" s="631"/>
      <c r="F2" s="632" t="s">
        <v>228</v>
      </c>
      <c r="G2" s="631"/>
      <c r="H2" s="632" t="s">
        <v>229</v>
      </c>
      <c r="I2" s="633"/>
      <c r="J2" s="634" t="s">
        <v>226</v>
      </c>
      <c r="K2" s="619"/>
      <c r="L2" s="619" t="s">
        <v>227</v>
      </c>
      <c r="M2" s="619"/>
      <c r="N2" s="619" t="s">
        <v>228</v>
      </c>
      <c r="O2" s="619"/>
      <c r="P2" s="619" t="s">
        <v>229</v>
      </c>
      <c r="Q2" s="635"/>
      <c r="T2" s="237"/>
      <c r="X2" s="172"/>
      <c r="Y2" s="172"/>
      <c r="AI2" s="230"/>
    </row>
    <row r="3" spans="1:43" s="230" customFormat="1" ht="24" customHeight="1" x14ac:dyDescent="0.2">
      <c r="A3" s="629"/>
      <c r="B3" s="238" t="s">
        <v>238</v>
      </c>
      <c r="C3" s="239" t="s">
        <v>241</v>
      </c>
      <c r="D3" s="577" t="str">
        <f t="shared" ref="D3:Q3" si="0">B3</f>
        <v>2016 terv</v>
      </c>
      <c r="E3" s="239" t="str">
        <f t="shared" si="0"/>
        <v>2016          tény</v>
      </c>
      <c r="F3" s="577" t="str">
        <f t="shared" si="0"/>
        <v>2016 terv</v>
      </c>
      <c r="G3" s="239" t="str">
        <f t="shared" si="0"/>
        <v>2016          tény</v>
      </c>
      <c r="H3" s="577" t="str">
        <f t="shared" si="0"/>
        <v>2016 terv</v>
      </c>
      <c r="I3" s="240" t="str">
        <f t="shared" si="0"/>
        <v>2016          tény</v>
      </c>
      <c r="J3" s="576" t="str">
        <f t="shared" si="0"/>
        <v>2016 terv</v>
      </c>
      <c r="K3" s="239" t="str">
        <f t="shared" si="0"/>
        <v>2016          tény</v>
      </c>
      <c r="L3" s="577" t="str">
        <f t="shared" si="0"/>
        <v>2016 terv</v>
      </c>
      <c r="M3" s="239" t="str">
        <f t="shared" si="0"/>
        <v>2016          tény</v>
      </c>
      <c r="N3" s="577" t="str">
        <f t="shared" si="0"/>
        <v>2016 terv</v>
      </c>
      <c r="O3" s="239" t="str">
        <f t="shared" si="0"/>
        <v>2016          tény</v>
      </c>
      <c r="P3" s="577" t="str">
        <f t="shared" si="0"/>
        <v>2016 terv</v>
      </c>
      <c r="Q3" s="241" t="str">
        <f t="shared" si="0"/>
        <v>2016          tény</v>
      </c>
      <c r="T3" s="237"/>
      <c r="X3" s="172"/>
      <c r="Y3" s="172"/>
    </row>
    <row r="4" spans="1:43" ht="19.5" customHeight="1" x14ac:dyDescent="0.2">
      <c r="A4" s="182" t="s">
        <v>230</v>
      </c>
      <c r="B4" s="242"/>
      <c r="C4" s="243"/>
      <c r="D4" s="244">
        <v>8</v>
      </c>
      <c r="E4" s="243">
        <v>8</v>
      </c>
      <c r="F4" s="244"/>
      <c r="G4" s="243"/>
      <c r="H4" s="244">
        <v>9</v>
      </c>
      <c r="I4" s="245">
        <v>8</v>
      </c>
      <c r="J4" s="273"/>
      <c r="K4" s="268"/>
      <c r="L4" s="269"/>
      <c r="M4" s="268"/>
      <c r="N4" s="269"/>
      <c r="O4" s="268"/>
      <c r="P4" s="270">
        <v>1.25</v>
      </c>
      <c r="Q4" s="271">
        <v>2</v>
      </c>
      <c r="T4" s="237"/>
    </row>
    <row r="5" spans="1:43" ht="19.5" customHeight="1" x14ac:dyDescent="0.2">
      <c r="A5" s="182" t="s">
        <v>231</v>
      </c>
      <c r="B5" s="242"/>
      <c r="C5" s="243"/>
      <c r="D5" s="244">
        <v>1</v>
      </c>
      <c r="E5" s="243">
        <v>0.68</v>
      </c>
      <c r="F5" s="244"/>
      <c r="G5" s="243"/>
      <c r="H5" s="244">
        <v>1</v>
      </c>
      <c r="I5" s="245">
        <v>1</v>
      </c>
      <c r="J5" s="273"/>
      <c r="K5" s="268"/>
      <c r="L5" s="269"/>
      <c r="M5" s="268"/>
      <c r="N5" s="269"/>
      <c r="O5" s="268"/>
      <c r="P5" s="270"/>
      <c r="Q5" s="271"/>
      <c r="T5" s="248"/>
      <c r="U5" s="249"/>
      <c r="V5" s="249"/>
      <c r="W5" s="249"/>
      <c r="X5" s="172"/>
      <c r="Y5" s="172"/>
    </row>
    <row r="6" spans="1:43" ht="19.5" customHeight="1" x14ac:dyDescent="0.2">
      <c r="A6" s="182" t="s">
        <v>232</v>
      </c>
      <c r="B6" s="242">
        <v>37</v>
      </c>
      <c r="C6" s="243">
        <v>35</v>
      </c>
      <c r="D6" s="244">
        <v>12</v>
      </c>
      <c r="E6" s="243">
        <v>10.65</v>
      </c>
      <c r="F6" s="244">
        <v>96</v>
      </c>
      <c r="G6" s="243">
        <v>98.16</v>
      </c>
      <c r="H6" s="244">
        <v>21</v>
      </c>
      <c r="I6" s="245">
        <v>21.69</v>
      </c>
      <c r="J6" s="273">
        <v>15.97</v>
      </c>
      <c r="K6" s="268">
        <v>22.43</v>
      </c>
      <c r="L6" s="269">
        <v>0.57999999999999996</v>
      </c>
      <c r="M6" s="268">
        <v>0.2</v>
      </c>
      <c r="N6" s="269">
        <v>12.12</v>
      </c>
      <c r="O6" s="268">
        <v>10.65</v>
      </c>
      <c r="P6" s="270">
        <v>2.25</v>
      </c>
      <c r="Q6" s="271">
        <v>2.25</v>
      </c>
      <c r="T6" s="248"/>
      <c r="U6" s="249"/>
      <c r="V6" s="249"/>
      <c r="W6" s="249"/>
      <c r="X6" s="172"/>
      <c r="Y6" s="172"/>
    </row>
    <row r="7" spans="1:43" ht="19.5" customHeight="1" x14ac:dyDescent="0.2">
      <c r="A7" s="250" t="s">
        <v>233</v>
      </c>
      <c r="B7" s="242">
        <v>2</v>
      </c>
      <c r="C7" s="243">
        <v>2</v>
      </c>
      <c r="D7" s="244">
        <v>1</v>
      </c>
      <c r="E7" s="243">
        <v>1</v>
      </c>
      <c r="F7" s="244">
        <v>6</v>
      </c>
      <c r="G7" s="243">
        <v>6</v>
      </c>
      <c r="H7" s="244">
        <v>2</v>
      </c>
      <c r="I7" s="245">
        <v>1.8</v>
      </c>
      <c r="J7" s="273">
        <v>0.4</v>
      </c>
      <c r="K7" s="268">
        <v>0.95</v>
      </c>
      <c r="L7" s="269"/>
      <c r="M7" s="268"/>
      <c r="N7" s="269"/>
      <c r="O7" s="268"/>
      <c r="P7" s="270"/>
      <c r="Q7" s="271"/>
      <c r="T7" s="248"/>
      <c r="U7" s="251"/>
      <c r="V7" s="251"/>
      <c r="W7" s="251"/>
      <c r="X7" s="172"/>
      <c r="Y7" s="172"/>
    </row>
    <row r="8" spans="1:43" ht="19.5" customHeight="1" x14ac:dyDescent="0.2">
      <c r="A8" s="250" t="s">
        <v>164</v>
      </c>
      <c r="B8" s="242">
        <v>1</v>
      </c>
      <c r="C8" s="243">
        <v>1</v>
      </c>
      <c r="D8" s="244"/>
      <c r="E8" s="243"/>
      <c r="F8" s="244">
        <v>2</v>
      </c>
      <c r="G8" s="243">
        <v>1.84</v>
      </c>
      <c r="H8" s="244"/>
      <c r="I8" s="245"/>
      <c r="J8" s="273"/>
      <c r="K8" s="268"/>
      <c r="L8" s="269"/>
      <c r="M8" s="268"/>
      <c r="N8" s="269"/>
      <c r="O8" s="268"/>
      <c r="P8" s="270"/>
      <c r="Q8" s="271"/>
      <c r="T8" s="248"/>
      <c r="X8" s="172"/>
      <c r="Y8" s="172"/>
    </row>
    <row r="9" spans="1:43" ht="19.5" customHeight="1" x14ac:dyDescent="0.2">
      <c r="A9" s="182" t="s">
        <v>234</v>
      </c>
      <c r="B9" s="242"/>
      <c r="C9" s="243"/>
      <c r="D9" s="244">
        <v>46</v>
      </c>
      <c r="E9" s="243">
        <v>42.77</v>
      </c>
      <c r="F9" s="244"/>
      <c r="G9" s="243"/>
      <c r="H9" s="244"/>
      <c r="I9" s="245"/>
      <c r="J9" s="273"/>
      <c r="K9" s="268"/>
      <c r="L9" s="269"/>
      <c r="M9" s="268"/>
      <c r="N9" s="269"/>
      <c r="O9" s="268"/>
      <c r="P9" s="270"/>
      <c r="Q9" s="271"/>
      <c r="T9" s="248"/>
      <c r="X9" s="172"/>
      <c r="Y9" s="172"/>
    </row>
    <row r="10" spans="1:43" ht="19.5" customHeight="1" x14ac:dyDescent="0.2">
      <c r="A10" s="182" t="s">
        <v>235</v>
      </c>
      <c r="B10" s="242">
        <v>5</v>
      </c>
      <c r="C10" s="243">
        <v>4</v>
      </c>
      <c r="D10" s="244"/>
      <c r="E10" s="243"/>
      <c r="F10" s="244"/>
      <c r="G10" s="243"/>
      <c r="H10" s="244"/>
      <c r="I10" s="245"/>
      <c r="J10" s="273"/>
      <c r="K10" s="268"/>
      <c r="L10" s="269"/>
      <c r="M10" s="268"/>
      <c r="N10" s="269"/>
      <c r="O10" s="268"/>
      <c r="P10" s="270"/>
      <c r="Q10" s="271"/>
      <c r="T10" s="248"/>
      <c r="X10" s="172"/>
      <c r="Y10" s="172"/>
    </row>
    <row r="11" spans="1:43" ht="33" customHeight="1" thickBot="1" x14ac:dyDescent="0.25">
      <c r="A11" s="252" t="s">
        <v>3</v>
      </c>
      <c r="B11" s="253">
        <f t="shared" ref="B11:Q11" si="1">SUM(B4:B10)</f>
        <v>45</v>
      </c>
      <c r="C11" s="254">
        <f t="shared" si="1"/>
        <v>42</v>
      </c>
      <c r="D11" s="255">
        <f t="shared" si="1"/>
        <v>68</v>
      </c>
      <c r="E11" s="254">
        <f t="shared" si="1"/>
        <v>63.1</v>
      </c>
      <c r="F11" s="255">
        <f t="shared" si="1"/>
        <v>104</v>
      </c>
      <c r="G11" s="256">
        <f t="shared" si="1"/>
        <v>106</v>
      </c>
      <c r="H11" s="272">
        <f t="shared" si="1"/>
        <v>33</v>
      </c>
      <c r="I11" s="254">
        <f t="shared" si="1"/>
        <v>32.49</v>
      </c>
      <c r="J11" s="253">
        <f t="shared" si="1"/>
        <v>16.37</v>
      </c>
      <c r="K11" s="254">
        <f t="shared" si="1"/>
        <v>23.38</v>
      </c>
      <c r="L11" s="255">
        <f t="shared" si="1"/>
        <v>0.57999999999999996</v>
      </c>
      <c r="M11" s="254">
        <f t="shared" si="1"/>
        <v>0.2</v>
      </c>
      <c r="N11" s="255">
        <f t="shared" si="1"/>
        <v>12.12</v>
      </c>
      <c r="O11" s="256">
        <f t="shared" si="1"/>
        <v>10.65</v>
      </c>
      <c r="P11" s="272">
        <f t="shared" si="1"/>
        <v>3.5</v>
      </c>
      <c r="Q11" s="257">
        <f t="shared" si="1"/>
        <v>4.25</v>
      </c>
      <c r="T11" s="248"/>
      <c r="X11" s="172"/>
      <c r="Y11" s="172"/>
    </row>
    <row r="12" spans="1:43" ht="13.5" customHeight="1" thickBot="1" x14ac:dyDescent="0.25">
      <c r="T12" s="248"/>
      <c r="X12" s="172"/>
      <c r="Y12" s="172"/>
    </row>
    <row r="13" spans="1:43" ht="24" customHeight="1" x14ac:dyDescent="0.2">
      <c r="A13" s="636" t="s">
        <v>223</v>
      </c>
      <c r="B13" s="624" t="s">
        <v>236</v>
      </c>
      <c r="C13" s="616"/>
      <c r="D13" s="616"/>
      <c r="E13" s="616"/>
      <c r="F13" s="616"/>
      <c r="G13" s="616"/>
      <c r="H13" s="616"/>
      <c r="I13" s="617"/>
      <c r="J13" s="613" t="s">
        <v>3</v>
      </c>
      <c r="K13" s="614"/>
      <c r="L13" s="614"/>
      <c r="M13" s="614"/>
      <c r="N13" s="614"/>
      <c r="O13" s="614"/>
      <c r="P13" s="614"/>
      <c r="Q13" s="615"/>
      <c r="R13" s="639" t="s">
        <v>3</v>
      </c>
      <c r="S13" s="640"/>
      <c r="T13" s="643" t="s">
        <v>237</v>
      </c>
      <c r="U13" s="644"/>
    </row>
    <row r="14" spans="1:43" ht="24" customHeight="1" x14ac:dyDescent="0.2">
      <c r="A14" s="637"/>
      <c r="B14" s="630" t="s">
        <v>226</v>
      </c>
      <c r="C14" s="631"/>
      <c r="D14" s="632" t="s">
        <v>227</v>
      </c>
      <c r="E14" s="631"/>
      <c r="F14" s="632" t="s">
        <v>228</v>
      </c>
      <c r="G14" s="631"/>
      <c r="H14" s="619" t="s">
        <v>229</v>
      </c>
      <c r="I14" s="635"/>
      <c r="J14" s="634" t="s">
        <v>226</v>
      </c>
      <c r="K14" s="619"/>
      <c r="L14" s="619" t="s">
        <v>227</v>
      </c>
      <c r="M14" s="619"/>
      <c r="N14" s="619" t="s">
        <v>228</v>
      </c>
      <c r="O14" s="619"/>
      <c r="P14" s="619" t="s">
        <v>229</v>
      </c>
      <c r="Q14" s="635"/>
      <c r="R14" s="641"/>
      <c r="S14" s="642"/>
      <c r="T14" s="645"/>
      <c r="U14" s="646"/>
    </row>
    <row r="15" spans="1:43" s="230" customFormat="1" ht="24" customHeight="1" x14ac:dyDescent="0.2">
      <c r="A15" s="638"/>
      <c r="B15" s="238" t="str">
        <f t="shared" ref="B15:G15" si="2">B3</f>
        <v>2016 terv</v>
      </c>
      <c r="C15" s="240" t="str">
        <f t="shared" si="2"/>
        <v>2016          tény</v>
      </c>
      <c r="D15" s="258" t="str">
        <f t="shared" si="2"/>
        <v>2016 terv</v>
      </c>
      <c r="E15" s="240" t="str">
        <f t="shared" si="2"/>
        <v>2016          tény</v>
      </c>
      <c r="F15" s="258" t="str">
        <f t="shared" si="2"/>
        <v>2016 terv</v>
      </c>
      <c r="G15" s="240" t="str">
        <f t="shared" si="2"/>
        <v>2016          tény</v>
      </c>
      <c r="H15" s="577" t="str">
        <f t="shared" ref="H15:I15" si="3">F15</f>
        <v>2016 terv</v>
      </c>
      <c r="I15" s="241" t="str">
        <f t="shared" si="3"/>
        <v>2016          tény</v>
      </c>
      <c r="J15" s="238" t="str">
        <f t="shared" ref="J15:O15" si="4">L3</f>
        <v>2016 terv</v>
      </c>
      <c r="K15" s="240" t="str">
        <f t="shared" si="4"/>
        <v>2016          tény</v>
      </c>
      <c r="L15" s="258" t="str">
        <f t="shared" si="4"/>
        <v>2016 terv</v>
      </c>
      <c r="M15" s="240" t="str">
        <f t="shared" si="4"/>
        <v>2016          tény</v>
      </c>
      <c r="N15" s="258" t="str">
        <f t="shared" si="4"/>
        <v>2016 terv</v>
      </c>
      <c r="O15" s="240" t="str">
        <f t="shared" si="4"/>
        <v>2016          tény</v>
      </c>
      <c r="P15" s="258" t="str">
        <f t="shared" ref="P15:U15" si="5">N15</f>
        <v>2016 terv</v>
      </c>
      <c r="Q15" s="240" t="str">
        <f t="shared" si="5"/>
        <v>2016          tény</v>
      </c>
      <c r="R15" s="238" t="str">
        <f t="shared" si="5"/>
        <v>2016 terv</v>
      </c>
      <c r="S15" s="240" t="str">
        <f t="shared" si="5"/>
        <v>2016          tény</v>
      </c>
      <c r="T15" s="576" t="str">
        <f t="shared" si="5"/>
        <v>2016 terv</v>
      </c>
      <c r="U15" s="241" t="str">
        <f t="shared" si="5"/>
        <v>2016          tény</v>
      </c>
    </row>
    <row r="16" spans="1:43" s="230" customFormat="1" ht="19.5" customHeight="1" thickBot="1" x14ac:dyDescent="0.25">
      <c r="A16" s="182" t="s">
        <v>230</v>
      </c>
      <c r="B16" s="242"/>
      <c r="C16" s="243"/>
      <c r="D16" s="244"/>
      <c r="E16" s="243"/>
      <c r="F16" s="244"/>
      <c r="G16" s="243"/>
      <c r="H16" s="246"/>
      <c r="I16" s="247"/>
      <c r="J16" s="259">
        <f>SUM(B4,J4,B16)</f>
        <v>0</v>
      </c>
      <c r="K16" s="260"/>
      <c r="L16" s="261">
        <f t="shared" ref="L16:Q22" si="6">SUM(D4,L4,D16)</f>
        <v>8</v>
      </c>
      <c r="M16" s="262">
        <f t="shared" si="6"/>
        <v>8</v>
      </c>
      <c r="N16" s="261">
        <f t="shared" si="6"/>
        <v>0</v>
      </c>
      <c r="O16" s="262">
        <f t="shared" si="6"/>
        <v>0</v>
      </c>
      <c r="P16" s="261">
        <f t="shared" si="6"/>
        <v>10.25</v>
      </c>
      <c r="Q16" s="262">
        <f t="shared" si="6"/>
        <v>10</v>
      </c>
      <c r="R16" s="263">
        <f t="shared" ref="R16:S22" si="7">IF(SUM(J16,L16,N16,P16)&gt;0,SUM(J16,L16,N16,P16),"")</f>
        <v>18.25</v>
      </c>
      <c r="S16" s="579">
        <f t="shared" si="7"/>
        <v>18</v>
      </c>
      <c r="T16" s="265">
        <v>0.5</v>
      </c>
      <c r="U16" s="247">
        <v>0.4</v>
      </c>
      <c r="Z16" s="172"/>
      <c r="AA16" s="172"/>
      <c r="AB16" s="172"/>
      <c r="AC16" s="172"/>
      <c r="AD16" s="172"/>
      <c r="AE16" s="172"/>
      <c r="AF16" s="172"/>
      <c r="AG16" s="172"/>
      <c r="AH16" s="172"/>
      <c r="AI16" s="172"/>
      <c r="AJ16" s="172"/>
      <c r="AK16" s="172"/>
      <c r="AL16" s="172"/>
      <c r="AM16" s="172"/>
      <c r="AN16" s="172"/>
      <c r="AO16" s="172"/>
      <c r="AP16" s="172"/>
      <c r="AQ16" s="172"/>
    </row>
    <row r="17" spans="1:43" s="230" customFormat="1" ht="19.5" customHeight="1" thickBot="1" x14ac:dyDescent="0.25">
      <c r="A17" s="182" t="s">
        <v>231</v>
      </c>
      <c r="B17" s="242"/>
      <c r="C17" s="243"/>
      <c r="D17" s="244"/>
      <c r="E17" s="243"/>
      <c r="F17" s="244"/>
      <c r="G17" s="243"/>
      <c r="H17" s="246"/>
      <c r="I17" s="247"/>
      <c r="J17" s="259">
        <f t="shared" ref="J17:J22" si="8">SUM(B5,J5,B17)</f>
        <v>0</v>
      </c>
      <c r="K17" s="260"/>
      <c r="L17" s="261">
        <f t="shared" si="6"/>
        <v>1</v>
      </c>
      <c r="M17" s="262">
        <f t="shared" si="6"/>
        <v>0.68</v>
      </c>
      <c r="N17" s="261">
        <f t="shared" si="6"/>
        <v>0</v>
      </c>
      <c r="O17" s="262">
        <f t="shared" si="6"/>
        <v>0</v>
      </c>
      <c r="P17" s="261">
        <f t="shared" si="6"/>
        <v>1</v>
      </c>
      <c r="Q17" s="262">
        <f t="shared" si="6"/>
        <v>1</v>
      </c>
      <c r="R17" s="263">
        <f t="shared" si="7"/>
        <v>2</v>
      </c>
      <c r="S17" s="579">
        <f t="shared" si="7"/>
        <v>1.6800000000000002</v>
      </c>
      <c r="T17" s="265"/>
      <c r="U17" s="247"/>
      <c r="Z17" s="172"/>
      <c r="AA17" s="172"/>
      <c r="AB17" s="172"/>
      <c r="AC17" s="172"/>
      <c r="AD17" s="172"/>
      <c r="AE17" s="172"/>
      <c r="AF17" s="172"/>
      <c r="AG17" s="172"/>
      <c r="AH17" s="172"/>
      <c r="AI17" s="172"/>
      <c r="AJ17" s="172"/>
      <c r="AK17" s="172"/>
      <c r="AL17" s="172"/>
      <c r="AM17" s="172"/>
      <c r="AN17" s="172"/>
      <c r="AO17" s="172"/>
      <c r="AP17" s="172"/>
      <c r="AQ17" s="172"/>
    </row>
    <row r="18" spans="1:43" s="230" customFormat="1" ht="19.5" customHeight="1" thickBot="1" x14ac:dyDescent="0.25">
      <c r="A18" s="182" t="s">
        <v>232</v>
      </c>
      <c r="B18" s="242">
        <v>3.23</v>
      </c>
      <c r="C18" s="243">
        <v>2.33</v>
      </c>
      <c r="D18" s="244">
        <v>0.2</v>
      </c>
      <c r="E18" s="243">
        <v>0.2</v>
      </c>
      <c r="F18" s="244"/>
      <c r="G18" s="243"/>
      <c r="H18" s="246"/>
      <c r="I18" s="247"/>
      <c r="J18" s="259">
        <f t="shared" si="8"/>
        <v>56.199999999999996</v>
      </c>
      <c r="K18" s="580">
        <f>C6+K6+C18</f>
        <v>59.76</v>
      </c>
      <c r="L18" s="261">
        <f t="shared" si="6"/>
        <v>12.78</v>
      </c>
      <c r="M18" s="262">
        <f t="shared" si="6"/>
        <v>11.049999999999999</v>
      </c>
      <c r="N18" s="261">
        <f t="shared" si="6"/>
        <v>108.12</v>
      </c>
      <c r="O18" s="262">
        <f t="shared" si="6"/>
        <v>108.81</v>
      </c>
      <c r="P18" s="261">
        <f t="shared" si="6"/>
        <v>23.25</v>
      </c>
      <c r="Q18" s="262">
        <f t="shared" si="6"/>
        <v>23.94</v>
      </c>
      <c r="R18" s="263">
        <f>IF(SUM(J18,L18,N18,P18)&gt;0,SUM(J18,L18,N18,P18),"")</f>
        <v>200.35</v>
      </c>
      <c r="S18" s="579">
        <f t="shared" si="7"/>
        <v>203.56</v>
      </c>
      <c r="T18" s="265">
        <v>0.4</v>
      </c>
      <c r="U18" s="247">
        <v>1.4</v>
      </c>
      <c r="Z18" s="172"/>
      <c r="AA18" s="172"/>
      <c r="AB18" s="172"/>
      <c r="AC18" s="172"/>
      <c r="AD18" s="172"/>
      <c r="AE18" s="172"/>
      <c r="AF18" s="172"/>
      <c r="AG18" s="172"/>
      <c r="AH18" s="172"/>
      <c r="AI18" s="172"/>
      <c r="AJ18" s="172"/>
      <c r="AK18" s="172"/>
      <c r="AL18" s="172"/>
      <c r="AM18" s="172"/>
      <c r="AN18" s="172"/>
      <c r="AO18" s="172"/>
      <c r="AP18" s="172"/>
      <c r="AQ18" s="172"/>
    </row>
    <row r="19" spans="1:43" s="230" customFormat="1" ht="19.5" customHeight="1" thickBot="1" x14ac:dyDescent="0.25">
      <c r="A19" s="250" t="s">
        <v>233</v>
      </c>
      <c r="B19" s="242"/>
      <c r="C19" s="243"/>
      <c r="D19" s="244"/>
      <c r="E19" s="243"/>
      <c r="F19" s="244"/>
      <c r="G19" s="243"/>
      <c r="H19" s="246"/>
      <c r="I19" s="247"/>
      <c r="J19" s="259">
        <f t="shared" si="8"/>
        <v>2.4</v>
      </c>
      <c r="K19" s="580">
        <f t="shared" ref="K19:K22" si="9">C7+K7+C19</f>
        <v>2.95</v>
      </c>
      <c r="L19" s="261">
        <f t="shared" si="6"/>
        <v>1</v>
      </c>
      <c r="M19" s="262">
        <f t="shared" si="6"/>
        <v>1</v>
      </c>
      <c r="N19" s="261">
        <f t="shared" si="6"/>
        <v>6</v>
      </c>
      <c r="O19" s="262">
        <f t="shared" si="6"/>
        <v>6</v>
      </c>
      <c r="P19" s="261">
        <f t="shared" si="6"/>
        <v>2</v>
      </c>
      <c r="Q19" s="262">
        <f t="shared" si="6"/>
        <v>1.8</v>
      </c>
      <c r="R19" s="263">
        <f t="shared" si="7"/>
        <v>11.4</v>
      </c>
      <c r="S19" s="579">
        <f t="shared" si="7"/>
        <v>11.75</v>
      </c>
      <c r="T19" s="265"/>
      <c r="U19" s="247"/>
      <c r="Z19" s="172"/>
      <c r="AA19" s="172"/>
      <c r="AB19" s="172"/>
      <c r="AC19" s="172"/>
      <c r="AD19" s="172"/>
      <c r="AE19" s="172"/>
      <c r="AF19" s="172"/>
      <c r="AG19" s="172"/>
      <c r="AH19" s="172"/>
      <c r="AI19" s="172"/>
      <c r="AJ19" s="172"/>
      <c r="AK19" s="172"/>
      <c r="AL19" s="172"/>
      <c r="AM19" s="172"/>
      <c r="AN19" s="172"/>
      <c r="AO19" s="172"/>
      <c r="AP19" s="172"/>
      <c r="AQ19" s="172"/>
    </row>
    <row r="20" spans="1:43" s="230" customFormat="1" ht="19.5" customHeight="1" thickBot="1" x14ac:dyDescent="0.25">
      <c r="A20" s="250" t="s">
        <v>164</v>
      </c>
      <c r="B20" s="242">
        <v>1</v>
      </c>
      <c r="C20" s="243">
        <v>1</v>
      </c>
      <c r="D20" s="244"/>
      <c r="E20" s="243"/>
      <c r="F20" s="244"/>
      <c r="G20" s="243"/>
      <c r="H20" s="246"/>
      <c r="I20" s="247"/>
      <c r="J20" s="259">
        <f t="shared" si="8"/>
        <v>2</v>
      </c>
      <c r="K20" s="580">
        <f t="shared" si="9"/>
        <v>2</v>
      </c>
      <c r="L20" s="261">
        <f t="shared" si="6"/>
        <v>0</v>
      </c>
      <c r="M20" s="262">
        <f t="shared" si="6"/>
        <v>0</v>
      </c>
      <c r="N20" s="261">
        <f t="shared" si="6"/>
        <v>2</v>
      </c>
      <c r="O20" s="262">
        <f t="shared" si="6"/>
        <v>1.84</v>
      </c>
      <c r="P20" s="261">
        <f t="shared" si="6"/>
        <v>0</v>
      </c>
      <c r="Q20" s="262">
        <f t="shared" si="6"/>
        <v>0</v>
      </c>
      <c r="R20" s="263">
        <f t="shared" si="7"/>
        <v>4</v>
      </c>
      <c r="S20" s="579">
        <f t="shared" si="7"/>
        <v>3.84</v>
      </c>
      <c r="T20" s="265"/>
      <c r="U20" s="247"/>
      <c r="Z20" s="172"/>
      <c r="AA20" s="172"/>
      <c r="AB20" s="172"/>
      <c r="AC20" s="172"/>
      <c r="AD20" s="172"/>
      <c r="AE20" s="172"/>
      <c r="AF20" s="172"/>
      <c r="AG20" s="172"/>
      <c r="AH20" s="172"/>
      <c r="AI20" s="172"/>
      <c r="AJ20" s="172"/>
      <c r="AK20" s="172"/>
      <c r="AL20" s="172"/>
      <c r="AM20" s="172"/>
      <c r="AN20" s="172"/>
      <c r="AO20" s="172"/>
      <c r="AP20" s="172"/>
      <c r="AQ20" s="172"/>
    </row>
    <row r="21" spans="1:43" s="230" customFormat="1" ht="19.5" customHeight="1" thickBot="1" x14ac:dyDescent="0.25">
      <c r="A21" s="182" t="s">
        <v>234</v>
      </c>
      <c r="B21" s="242"/>
      <c r="C21" s="243"/>
      <c r="D21" s="244"/>
      <c r="E21" s="243"/>
      <c r="F21" s="244"/>
      <c r="G21" s="243"/>
      <c r="H21" s="246"/>
      <c r="I21" s="247"/>
      <c r="J21" s="259">
        <f t="shared" si="8"/>
        <v>0</v>
      </c>
      <c r="K21" s="260"/>
      <c r="L21" s="261">
        <f t="shared" si="6"/>
        <v>46</v>
      </c>
      <c r="M21" s="262">
        <f t="shared" si="6"/>
        <v>42.77</v>
      </c>
      <c r="N21" s="261">
        <f t="shared" si="6"/>
        <v>0</v>
      </c>
      <c r="O21" s="262">
        <f t="shared" si="6"/>
        <v>0</v>
      </c>
      <c r="P21" s="261">
        <f t="shared" si="6"/>
        <v>0</v>
      </c>
      <c r="Q21" s="262">
        <f t="shared" si="6"/>
        <v>0</v>
      </c>
      <c r="R21" s="263">
        <f t="shared" si="7"/>
        <v>46</v>
      </c>
      <c r="S21" s="579">
        <f t="shared" si="7"/>
        <v>42.77</v>
      </c>
      <c r="T21" s="265">
        <v>0.2</v>
      </c>
      <c r="U21" s="247">
        <v>0.2</v>
      </c>
      <c r="Z21" s="172"/>
      <c r="AA21" s="172"/>
      <c r="AB21" s="172"/>
      <c r="AC21" s="172"/>
      <c r="AD21" s="172"/>
      <c r="AE21" s="172"/>
      <c r="AF21" s="172"/>
      <c r="AG21" s="172"/>
      <c r="AH21" s="172"/>
      <c r="AI21" s="172"/>
      <c r="AJ21" s="172"/>
      <c r="AK21" s="172"/>
      <c r="AL21" s="172"/>
      <c r="AM21" s="172"/>
      <c r="AN21" s="172"/>
      <c r="AO21" s="172"/>
      <c r="AP21" s="172"/>
      <c r="AQ21" s="172"/>
    </row>
    <row r="22" spans="1:43" s="230" customFormat="1" ht="19.5" customHeight="1" thickBot="1" x14ac:dyDescent="0.25">
      <c r="A22" s="182" t="s">
        <v>235</v>
      </c>
      <c r="B22" s="242"/>
      <c r="C22" s="243"/>
      <c r="D22" s="244"/>
      <c r="E22" s="243"/>
      <c r="F22" s="244"/>
      <c r="G22" s="243"/>
      <c r="H22" s="246"/>
      <c r="I22" s="247"/>
      <c r="J22" s="259">
        <f t="shared" si="8"/>
        <v>5</v>
      </c>
      <c r="K22" s="580">
        <f t="shared" si="9"/>
        <v>4</v>
      </c>
      <c r="L22" s="261">
        <f t="shared" si="6"/>
        <v>0</v>
      </c>
      <c r="M22" s="262">
        <f t="shared" si="6"/>
        <v>0</v>
      </c>
      <c r="N22" s="261">
        <f t="shared" si="6"/>
        <v>0</v>
      </c>
      <c r="O22" s="262">
        <f t="shared" si="6"/>
        <v>0</v>
      </c>
      <c r="P22" s="261">
        <f t="shared" si="6"/>
        <v>0</v>
      </c>
      <c r="Q22" s="262">
        <f t="shared" si="6"/>
        <v>0</v>
      </c>
      <c r="R22" s="263">
        <f t="shared" si="7"/>
        <v>5</v>
      </c>
      <c r="S22" s="579">
        <f t="shared" si="7"/>
        <v>4</v>
      </c>
      <c r="T22" s="265"/>
      <c r="U22" s="247"/>
      <c r="Z22" s="172"/>
      <c r="AA22" s="172"/>
      <c r="AB22" s="172"/>
      <c r="AC22" s="172"/>
      <c r="AD22" s="172"/>
      <c r="AE22" s="172"/>
      <c r="AF22" s="172"/>
      <c r="AG22" s="172"/>
      <c r="AH22" s="172"/>
      <c r="AI22" s="172"/>
      <c r="AJ22" s="172"/>
      <c r="AK22" s="172"/>
      <c r="AL22" s="172"/>
      <c r="AM22" s="172"/>
      <c r="AN22" s="172"/>
      <c r="AO22" s="172"/>
      <c r="AP22" s="172"/>
      <c r="AQ22" s="172"/>
    </row>
    <row r="23" spans="1:43" s="230" customFormat="1" ht="19.5" customHeight="1" thickBot="1" x14ac:dyDescent="0.25">
      <c r="A23" s="252" t="s">
        <v>3</v>
      </c>
      <c r="B23" s="253">
        <f t="shared" ref="B23:Q23" si="10">SUM(B16:B22)</f>
        <v>4.2300000000000004</v>
      </c>
      <c r="C23" s="254">
        <f t="shared" si="10"/>
        <v>3.33</v>
      </c>
      <c r="D23" s="255">
        <f t="shared" si="10"/>
        <v>0.2</v>
      </c>
      <c r="E23" s="254">
        <f t="shared" si="10"/>
        <v>0.2</v>
      </c>
      <c r="F23" s="255">
        <f t="shared" si="10"/>
        <v>0</v>
      </c>
      <c r="G23" s="256">
        <f t="shared" si="10"/>
        <v>0</v>
      </c>
      <c r="H23" s="272">
        <f t="shared" si="10"/>
        <v>0</v>
      </c>
      <c r="I23" s="254">
        <f t="shared" si="10"/>
        <v>0</v>
      </c>
      <c r="J23" s="253">
        <f t="shared" si="10"/>
        <v>65.599999999999994</v>
      </c>
      <c r="K23" s="254">
        <f t="shared" si="10"/>
        <v>68.710000000000008</v>
      </c>
      <c r="L23" s="255">
        <f t="shared" si="10"/>
        <v>68.78</v>
      </c>
      <c r="M23" s="256">
        <f t="shared" si="10"/>
        <v>63.5</v>
      </c>
      <c r="N23" s="255">
        <f t="shared" si="10"/>
        <v>116.12</v>
      </c>
      <c r="O23" s="254">
        <f t="shared" si="10"/>
        <v>116.65</v>
      </c>
      <c r="P23" s="255">
        <f t="shared" si="10"/>
        <v>36.5</v>
      </c>
      <c r="Q23" s="256">
        <f t="shared" si="10"/>
        <v>36.739999999999995</v>
      </c>
      <c r="R23" s="253">
        <f>SUM(R16:R22)</f>
        <v>287</v>
      </c>
      <c r="S23" s="579">
        <f>SUM(S16:S22)</f>
        <v>285.60000000000002</v>
      </c>
      <c r="T23" s="266">
        <f>SUM(T16:T22)</f>
        <v>1.1000000000000001</v>
      </c>
      <c r="U23" s="267">
        <f>SUM(U16:U22)</f>
        <v>1.9999999999999998</v>
      </c>
      <c r="Z23" s="172"/>
      <c r="AA23" s="172"/>
      <c r="AB23" s="172"/>
      <c r="AC23" s="172"/>
      <c r="AD23" s="172"/>
      <c r="AE23" s="172"/>
      <c r="AF23" s="172"/>
      <c r="AG23" s="172"/>
      <c r="AH23" s="172"/>
      <c r="AI23" s="172"/>
      <c r="AJ23" s="172"/>
      <c r="AK23" s="172"/>
      <c r="AL23" s="172"/>
      <c r="AM23" s="172"/>
      <c r="AN23" s="172"/>
      <c r="AO23" s="172"/>
      <c r="AP23" s="172"/>
      <c r="AQ23" s="172"/>
    </row>
    <row r="24" spans="1:43" s="230" customFormat="1" ht="13.5" customHeight="1" x14ac:dyDescent="0.2">
      <c r="A24" s="172"/>
      <c r="Z24" s="172"/>
      <c r="AA24" s="172"/>
      <c r="AB24" s="172"/>
      <c r="AC24" s="172"/>
      <c r="AD24" s="172"/>
      <c r="AE24" s="172"/>
      <c r="AF24" s="172"/>
      <c r="AG24" s="172"/>
      <c r="AH24" s="172"/>
      <c r="AI24" s="172"/>
      <c r="AJ24" s="172"/>
      <c r="AK24" s="172"/>
      <c r="AL24" s="172"/>
      <c r="AM24" s="172"/>
      <c r="AN24" s="172"/>
      <c r="AO24" s="172"/>
      <c r="AP24" s="172"/>
      <c r="AQ24" s="172"/>
    </row>
  </sheetData>
  <mergeCells count="24">
    <mergeCell ref="A13:A15"/>
    <mergeCell ref="B13:I13"/>
    <mergeCell ref="J13:Q13"/>
    <mergeCell ref="R13:S14"/>
    <mergeCell ref="T13:U14"/>
    <mergeCell ref="B14:C14"/>
    <mergeCell ref="D14:E14"/>
    <mergeCell ref="F14:G14"/>
    <mergeCell ref="H14:I14"/>
    <mergeCell ref="J14:K14"/>
    <mergeCell ref="L14:M14"/>
    <mergeCell ref="N14:O14"/>
    <mergeCell ref="P14:Q14"/>
    <mergeCell ref="A1:A3"/>
    <mergeCell ref="B1:I1"/>
    <mergeCell ref="J1:Q1"/>
    <mergeCell ref="B2:C2"/>
    <mergeCell ref="D2:E2"/>
    <mergeCell ref="F2:G2"/>
    <mergeCell ref="H2:I2"/>
    <mergeCell ref="J2:K2"/>
    <mergeCell ref="L2:M2"/>
    <mergeCell ref="N2:O2"/>
    <mergeCell ref="P2:Q2"/>
  </mergeCells>
  <conditionalFormatting sqref="R13 V13:IT23 T13 Z24:IV65530 H24:Q65530 R24:Y65517 C14:G65530 R1:S1 T1:IV12 A1:B65530 H14:I23 J13:Q17 C1:Q12 J23:Q23 J18:J22 L18:Q22 R15:U23">
    <cfRule type="cellIs" dxfId="12" priority="2" stopIfTrue="1" operator="equal">
      <formula>0</formula>
    </cfRule>
  </conditionalFormatting>
  <conditionalFormatting sqref="K18:K22">
    <cfRule type="cellIs" dxfId="11" priority="1" stopIfTrue="1" operator="equal">
      <formula>0</formula>
    </cfRule>
  </conditionalFormatting>
  <printOptions horizontalCentered="1" verticalCentered="1"/>
  <pageMargins left="0" right="0" top="0.78740157480314965" bottom="0.59055118110236227" header="0.31496062992125984" footer="0.31496062992125984"/>
  <pageSetup paperSize="9" scale="85" orientation="landscape" r:id="rId1"/>
  <headerFooter alignWithMargins="0">
    <oddHeader>&amp;CXIII. Kerületi Egészségügyi Szolgálat Közhasznú Nonprofit Kft.2016. év statisztikai létszáma foglalkoztatási jogviszonyok szerinti bontásban&amp;R6. sz. melléklet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topLeftCell="C1" zoomScale="80" zoomScaleNormal="80" workbookViewId="0">
      <selection activeCell="O2" sqref="O2"/>
    </sheetView>
  </sheetViews>
  <sheetFormatPr defaultRowHeight="16.5" customHeight="1" x14ac:dyDescent="0.2"/>
  <cols>
    <col min="1" max="1" width="3.42578125" style="44" customWidth="1"/>
    <col min="2" max="2" width="52.28515625" style="45" customWidth="1"/>
    <col min="3" max="5" width="13.7109375" style="45" customWidth="1"/>
    <col min="6" max="7" width="13.7109375" style="8" customWidth="1"/>
    <col min="8" max="8" width="13.7109375" style="26" customWidth="1"/>
    <col min="9" max="10" width="13.7109375" style="8" customWidth="1"/>
    <col min="11" max="11" width="13.7109375" style="26" customWidth="1"/>
    <col min="12" max="13" width="13.7109375" style="8" customWidth="1"/>
    <col min="14" max="14" width="13.7109375" style="26" customWidth="1"/>
    <col min="15" max="16384" width="9.140625" style="8"/>
  </cols>
  <sheetData>
    <row r="1" spans="1:14" ht="17.25" customHeight="1" x14ac:dyDescent="0.2">
      <c r="A1" s="649"/>
      <c r="B1" s="650"/>
      <c r="C1" s="624" t="s">
        <v>253</v>
      </c>
      <c r="D1" s="616"/>
      <c r="E1" s="617"/>
      <c r="F1" s="620" t="s">
        <v>123</v>
      </c>
      <c r="G1" s="647"/>
      <c r="H1" s="648"/>
      <c r="I1" s="616" t="s">
        <v>254</v>
      </c>
      <c r="J1" s="616"/>
      <c r="K1" s="616"/>
      <c r="L1" s="624" t="s">
        <v>256</v>
      </c>
      <c r="M1" s="616"/>
      <c r="N1" s="617"/>
    </row>
    <row r="2" spans="1:14" ht="51" customHeight="1" x14ac:dyDescent="0.2">
      <c r="A2" s="651"/>
      <c r="B2" s="652"/>
      <c r="C2" s="34" t="s">
        <v>18</v>
      </c>
      <c r="D2" s="217" t="s">
        <v>19</v>
      </c>
      <c r="E2" s="37" t="s">
        <v>3</v>
      </c>
      <c r="F2" s="34" t="s">
        <v>18</v>
      </c>
      <c r="G2" s="35" t="s">
        <v>19</v>
      </c>
      <c r="H2" s="36" t="s">
        <v>3</v>
      </c>
      <c r="I2" s="64" t="s">
        <v>18</v>
      </c>
      <c r="J2" s="1" t="s">
        <v>19</v>
      </c>
      <c r="K2" s="37" t="s">
        <v>3</v>
      </c>
      <c r="L2" s="34" t="s">
        <v>18</v>
      </c>
      <c r="M2" s="38" t="s">
        <v>19</v>
      </c>
      <c r="N2" s="39" t="s">
        <v>3</v>
      </c>
    </row>
    <row r="3" spans="1:14" s="45" customFormat="1" ht="17.25" customHeight="1" x14ac:dyDescent="0.2">
      <c r="A3" s="40">
        <v>1</v>
      </c>
      <c r="B3" s="111" t="s">
        <v>20</v>
      </c>
      <c r="C3" s="76">
        <v>652594</v>
      </c>
      <c r="D3" s="70">
        <v>6931</v>
      </c>
      <c r="E3" s="12">
        <f>SUM(C3:D3)</f>
        <v>659525</v>
      </c>
      <c r="F3" s="76">
        <v>680576</v>
      </c>
      <c r="G3" s="70">
        <v>4824</v>
      </c>
      <c r="H3" s="12">
        <f>SUM(F3:G3)</f>
        <v>685400</v>
      </c>
      <c r="I3" s="76">
        <v>677157</v>
      </c>
      <c r="J3" s="70">
        <v>8163</v>
      </c>
      <c r="K3" s="12">
        <f>SUM(I3:J3)</f>
        <v>685320</v>
      </c>
      <c r="L3" s="65">
        <f>I3/F3</f>
        <v>0.99497631418092913</v>
      </c>
      <c r="M3" s="63">
        <f>J3/G3</f>
        <v>1.6921641791044777</v>
      </c>
      <c r="N3" s="17">
        <f>K3/H3</f>
        <v>0.99988327983659175</v>
      </c>
    </row>
    <row r="4" spans="1:14" s="45" customFormat="1" ht="17.25" customHeight="1" x14ac:dyDescent="0.2">
      <c r="A4" s="40"/>
      <c r="B4" s="111" t="s">
        <v>113</v>
      </c>
      <c r="C4" s="76">
        <v>20045</v>
      </c>
      <c r="D4" s="70"/>
      <c r="E4" s="12">
        <f>SUM(C4:D4)</f>
        <v>20045</v>
      </c>
      <c r="F4" s="76"/>
      <c r="G4" s="70"/>
      <c r="H4" s="12">
        <f>SUM(F4:G4)</f>
        <v>0</v>
      </c>
      <c r="I4" s="76"/>
      <c r="J4" s="70"/>
      <c r="K4" s="12">
        <f>SUM(I4:J4)</f>
        <v>0</v>
      </c>
      <c r="L4" s="65"/>
      <c r="M4" s="63"/>
      <c r="N4" s="17"/>
    </row>
    <row r="5" spans="1:14" s="45" customFormat="1" ht="17.25" customHeight="1" x14ac:dyDescent="0.2">
      <c r="A5" s="40"/>
      <c r="B5" s="111" t="s">
        <v>110</v>
      </c>
      <c r="C5" s="76">
        <v>92491</v>
      </c>
      <c r="D5" s="70"/>
      <c r="E5" s="12">
        <f>SUM(C5:D5)</f>
        <v>92491</v>
      </c>
      <c r="F5" s="76">
        <v>112430</v>
      </c>
      <c r="G5" s="70"/>
      <c r="H5" s="12">
        <f>SUM(F5:G5)</f>
        <v>112430</v>
      </c>
      <c r="I5" s="76">
        <v>91996</v>
      </c>
      <c r="J5" s="70"/>
      <c r="K5" s="12">
        <f>SUM(I5:J5)</f>
        <v>91996</v>
      </c>
      <c r="L5" s="65">
        <f t="shared" ref="L5:L15" si="0">I5/F5</f>
        <v>0.8182513563995375</v>
      </c>
      <c r="M5" s="63"/>
      <c r="N5" s="17">
        <f t="shared" ref="N5:N15" si="1">K5/H5</f>
        <v>0.8182513563995375</v>
      </c>
    </row>
    <row r="6" spans="1:14" s="45" customFormat="1" ht="17.25" customHeight="1" x14ac:dyDescent="0.2">
      <c r="A6" s="40"/>
      <c r="B6" s="111" t="s">
        <v>126</v>
      </c>
      <c r="C6" s="76">
        <v>5876</v>
      </c>
      <c r="D6" s="70"/>
      <c r="E6" s="12">
        <f t="shared" ref="E6:E19" si="2">SUM(C6:D6)</f>
        <v>5876</v>
      </c>
      <c r="F6" s="76">
        <v>36677</v>
      </c>
      <c r="G6" s="70"/>
      <c r="H6" s="12">
        <f t="shared" ref="H6:H19" si="3">SUM(F6:G6)</f>
        <v>36677</v>
      </c>
      <c r="I6" s="76">
        <v>6190</v>
      </c>
      <c r="J6" s="70"/>
      <c r="K6" s="12">
        <f t="shared" ref="K6:K8" si="4">SUM(I6:J6)</f>
        <v>6190</v>
      </c>
      <c r="L6" s="65">
        <f t="shared" ref="L6" si="5">I6/F6</f>
        <v>0.16877061918913761</v>
      </c>
      <c r="M6" s="63"/>
      <c r="N6" s="17">
        <f t="shared" ref="N6" si="6">K6/H6</f>
        <v>0.16877061918913761</v>
      </c>
    </row>
    <row r="7" spans="1:14" s="45" customFormat="1" ht="17.25" customHeight="1" x14ac:dyDescent="0.2">
      <c r="A7" s="40"/>
      <c r="B7" s="111" t="s">
        <v>246</v>
      </c>
      <c r="C7" s="76"/>
      <c r="D7" s="70"/>
      <c r="E7" s="12"/>
      <c r="F7" s="76"/>
      <c r="G7" s="70"/>
      <c r="H7" s="12"/>
      <c r="I7" s="76">
        <v>36834</v>
      </c>
      <c r="J7" s="70"/>
      <c r="K7" s="12">
        <f t="shared" ref="K7" si="7">SUM(I7:J7)</f>
        <v>36834</v>
      </c>
      <c r="L7" s="65"/>
      <c r="M7" s="63"/>
      <c r="N7" s="17"/>
    </row>
    <row r="8" spans="1:14" s="45" customFormat="1" ht="17.25" customHeight="1" x14ac:dyDescent="0.2">
      <c r="A8" s="40"/>
      <c r="B8" s="111" t="s">
        <v>127</v>
      </c>
      <c r="C8" s="76">
        <v>1035</v>
      </c>
      <c r="D8" s="70"/>
      <c r="E8" s="12">
        <f t="shared" si="2"/>
        <v>1035</v>
      </c>
      <c r="F8" s="76"/>
      <c r="G8" s="70"/>
      <c r="H8" s="12">
        <f t="shared" si="3"/>
        <v>0</v>
      </c>
      <c r="I8" s="76">
        <v>183</v>
      </c>
      <c r="J8" s="70"/>
      <c r="K8" s="12">
        <f t="shared" si="4"/>
        <v>183</v>
      </c>
      <c r="L8" s="65"/>
      <c r="M8" s="63"/>
      <c r="N8" s="17"/>
    </row>
    <row r="9" spans="1:14" s="45" customFormat="1" ht="17.25" customHeight="1" x14ac:dyDescent="0.2">
      <c r="A9" s="40">
        <v>2</v>
      </c>
      <c r="B9" s="111" t="s">
        <v>21</v>
      </c>
      <c r="C9" s="76">
        <v>34071</v>
      </c>
      <c r="D9" s="70"/>
      <c r="E9" s="12">
        <f t="shared" si="2"/>
        <v>34071</v>
      </c>
      <c r="F9" s="76">
        <v>33488</v>
      </c>
      <c r="G9" s="19"/>
      <c r="H9" s="12">
        <f t="shared" si="3"/>
        <v>33488</v>
      </c>
      <c r="I9" s="76">
        <v>36514</v>
      </c>
      <c r="J9" s="70"/>
      <c r="K9" s="12">
        <f t="shared" ref="K9:K30" si="8">SUM(I9:J9)</f>
        <v>36514</v>
      </c>
      <c r="L9" s="65">
        <f t="shared" si="0"/>
        <v>1.0903607262302915</v>
      </c>
      <c r="M9" s="63"/>
      <c r="N9" s="17">
        <f t="shared" si="1"/>
        <v>1.0903607262302915</v>
      </c>
    </row>
    <row r="10" spans="1:14" s="45" customFormat="1" ht="17.25" customHeight="1" x14ac:dyDescent="0.2">
      <c r="A10" s="40"/>
      <c r="B10" s="111" t="s">
        <v>247</v>
      </c>
      <c r="C10" s="76">
        <v>12861</v>
      </c>
      <c r="D10" s="70"/>
      <c r="E10" s="12">
        <f t="shared" si="2"/>
        <v>12861</v>
      </c>
      <c r="F10" s="76"/>
      <c r="G10" s="19"/>
      <c r="H10" s="12"/>
      <c r="I10" s="76">
        <v>32430</v>
      </c>
      <c r="J10" s="70"/>
      <c r="K10" s="12">
        <f t="shared" si="8"/>
        <v>32430</v>
      </c>
      <c r="L10" s="65"/>
      <c r="M10" s="63"/>
      <c r="N10" s="17"/>
    </row>
    <row r="11" spans="1:14" s="41" customFormat="1" ht="17.25" customHeight="1" x14ac:dyDescent="0.2">
      <c r="A11" s="40">
        <v>3</v>
      </c>
      <c r="B11" s="112" t="s">
        <v>95</v>
      </c>
      <c r="C11" s="76">
        <v>2212</v>
      </c>
      <c r="D11" s="52"/>
      <c r="E11" s="12">
        <f t="shared" si="2"/>
        <v>2212</v>
      </c>
      <c r="F11" s="76">
        <v>1116</v>
      </c>
      <c r="G11" s="19"/>
      <c r="H11" s="12">
        <f t="shared" si="3"/>
        <v>1116</v>
      </c>
      <c r="I11" s="76">
        <v>7079</v>
      </c>
      <c r="J11" s="52"/>
      <c r="K11" s="12">
        <f t="shared" si="8"/>
        <v>7079</v>
      </c>
      <c r="L11" s="65">
        <f t="shared" si="0"/>
        <v>6.3431899641577063</v>
      </c>
      <c r="M11" s="63"/>
      <c r="N11" s="17">
        <f t="shared" si="1"/>
        <v>6.3431899641577063</v>
      </c>
    </row>
    <row r="12" spans="1:14" s="41" customFormat="1" ht="17.25" customHeight="1" x14ac:dyDescent="0.2">
      <c r="A12" s="40">
        <v>4</v>
      </c>
      <c r="B12" s="112" t="s">
        <v>96</v>
      </c>
      <c r="C12" s="76">
        <v>5555</v>
      </c>
      <c r="D12" s="52"/>
      <c r="E12" s="12">
        <f t="shared" si="2"/>
        <v>5555</v>
      </c>
      <c r="F12" s="76">
        <v>5300</v>
      </c>
      <c r="G12" s="19"/>
      <c r="H12" s="12">
        <f t="shared" si="3"/>
        <v>5300</v>
      </c>
      <c r="I12" s="76">
        <v>5558</v>
      </c>
      <c r="J12" s="52"/>
      <c r="K12" s="12">
        <f t="shared" si="8"/>
        <v>5558</v>
      </c>
      <c r="L12" s="65">
        <f t="shared" si="0"/>
        <v>1.0486792452830189</v>
      </c>
      <c r="M12" s="63"/>
      <c r="N12" s="17">
        <f t="shared" si="1"/>
        <v>1.0486792452830189</v>
      </c>
    </row>
    <row r="13" spans="1:14" s="45" customFormat="1" ht="17.25" customHeight="1" x14ac:dyDescent="0.2">
      <c r="A13" s="40">
        <v>5</v>
      </c>
      <c r="B13" s="112" t="s">
        <v>22</v>
      </c>
      <c r="C13" s="76">
        <v>20814</v>
      </c>
      <c r="D13" s="70"/>
      <c r="E13" s="12">
        <f t="shared" si="2"/>
        <v>20814</v>
      </c>
      <c r="F13" s="76">
        <v>26400</v>
      </c>
      <c r="G13" s="19"/>
      <c r="H13" s="12">
        <f t="shared" si="3"/>
        <v>26400</v>
      </c>
      <c r="I13" s="76">
        <v>21444</v>
      </c>
      <c r="J13" s="70"/>
      <c r="K13" s="12">
        <f t="shared" si="8"/>
        <v>21444</v>
      </c>
      <c r="L13" s="65">
        <f t="shared" si="0"/>
        <v>0.81227272727272726</v>
      </c>
      <c r="M13" s="63"/>
      <c r="N13" s="17">
        <f t="shared" si="1"/>
        <v>0.81227272727272726</v>
      </c>
    </row>
    <row r="14" spans="1:14" s="45" customFormat="1" ht="17.25" customHeight="1" x14ac:dyDescent="0.2">
      <c r="A14" s="40"/>
      <c r="B14" s="112" t="s">
        <v>114</v>
      </c>
      <c r="C14" s="76">
        <v>10849</v>
      </c>
      <c r="D14" s="70"/>
      <c r="E14" s="12">
        <f t="shared" si="2"/>
        <v>10849</v>
      </c>
      <c r="F14" s="76"/>
      <c r="G14" s="19"/>
      <c r="H14" s="12">
        <f t="shared" si="3"/>
        <v>0</v>
      </c>
      <c r="I14" s="76">
        <v>10385</v>
      </c>
      <c r="J14" s="70"/>
      <c r="K14" s="12">
        <f t="shared" si="8"/>
        <v>10385</v>
      </c>
      <c r="L14" s="65"/>
      <c r="M14" s="63"/>
      <c r="N14" s="17"/>
    </row>
    <row r="15" spans="1:14" s="45" customFormat="1" ht="17.25" customHeight="1" x14ac:dyDescent="0.2">
      <c r="A15" s="40">
        <v>6</v>
      </c>
      <c r="B15" s="112" t="s">
        <v>23</v>
      </c>
      <c r="C15" s="76">
        <v>24918</v>
      </c>
      <c r="D15" s="70"/>
      <c r="E15" s="12">
        <f t="shared" si="2"/>
        <v>24918</v>
      </c>
      <c r="F15" s="76">
        <v>16848</v>
      </c>
      <c r="G15" s="19"/>
      <c r="H15" s="12">
        <f t="shared" si="3"/>
        <v>16848</v>
      </c>
      <c r="I15" s="76">
        <v>25217</v>
      </c>
      <c r="J15" s="70"/>
      <c r="K15" s="12">
        <f t="shared" si="8"/>
        <v>25217</v>
      </c>
      <c r="L15" s="65">
        <f t="shared" si="0"/>
        <v>1.4967355175688508</v>
      </c>
      <c r="M15" s="63"/>
      <c r="N15" s="17">
        <f t="shared" si="1"/>
        <v>1.4967355175688508</v>
      </c>
    </row>
    <row r="16" spans="1:14" s="45" customFormat="1" ht="17.25" customHeight="1" x14ac:dyDescent="0.2">
      <c r="A16" s="40">
        <v>7</v>
      </c>
      <c r="B16" s="112" t="s">
        <v>24</v>
      </c>
      <c r="C16" s="76">
        <v>6893</v>
      </c>
      <c r="D16" s="70"/>
      <c r="E16" s="12">
        <f t="shared" si="2"/>
        <v>6893</v>
      </c>
      <c r="F16" s="76"/>
      <c r="G16" s="19"/>
      <c r="H16" s="12">
        <f t="shared" si="3"/>
        <v>0</v>
      </c>
      <c r="I16" s="76">
        <v>6895</v>
      </c>
      <c r="J16" s="70"/>
      <c r="K16" s="12">
        <f t="shared" si="8"/>
        <v>6895</v>
      </c>
      <c r="L16" s="65"/>
      <c r="M16" s="63"/>
      <c r="N16" s="17"/>
    </row>
    <row r="17" spans="1:15" s="41" customFormat="1" ht="17.25" customHeight="1" x14ac:dyDescent="0.2">
      <c r="A17" s="40">
        <v>8</v>
      </c>
      <c r="B17" s="112" t="s">
        <v>25</v>
      </c>
      <c r="C17" s="76">
        <v>4315</v>
      </c>
      <c r="D17" s="52"/>
      <c r="E17" s="12">
        <f t="shared" si="2"/>
        <v>4315</v>
      </c>
      <c r="F17" s="76">
        <v>5795</v>
      </c>
      <c r="G17" s="19"/>
      <c r="H17" s="12">
        <f t="shared" si="3"/>
        <v>5795</v>
      </c>
      <c r="I17" s="76">
        <v>9987</v>
      </c>
      <c r="J17" s="52"/>
      <c r="K17" s="12">
        <f t="shared" si="8"/>
        <v>9987</v>
      </c>
      <c r="L17" s="65">
        <f t="shared" ref="L17:L24" si="9">I17/F17</f>
        <v>1.7233822260569456</v>
      </c>
      <c r="M17" s="63"/>
      <c r="N17" s="17">
        <f>K17/H17</f>
        <v>1.7233822260569456</v>
      </c>
    </row>
    <row r="18" spans="1:15" s="45" customFormat="1" ht="17.25" customHeight="1" x14ac:dyDescent="0.2">
      <c r="A18" s="40">
        <v>9</v>
      </c>
      <c r="B18" s="112" t="s">
        <v>44</v>
      </c>
      <c r="C18" s="76">
        <v>422</v>
      </c>
      <c r="D18" s="70"/>
      <c r="E18" s="12">
        <f t="shared" si="2"/>
        <v>422</v>
      </c>
      <c r="F18" s="76"/>
      <c r="G18" s="19"/>
      <c r="H18" s="12">
        <f t="shared" si="3"/>
        <v>0</v>
      </c>
      <c r="I18" s="76"/>
      <c r="J18" s="70"/>
      <c r="K18" s="12">
        <f t="shared" si="8"/>
        <v>0</v>
      </c>
      <c r="L18" s="65"/>
      <c r="M18" s="63"/>
      <c r="N18" s="17"/>
    </row>
    <row r="19" spans="1:15" s="45" customFormat="1" ht="17.25" customHeight="1" x14ac:dyDescent="0.2">
      <c r="A19" s="40"/>
      <c r="B19" s="112" t="s">
        <v>117</v>
      </c>
      <c r="C19" s="76"/>
      <c r="D19" s="19"/>
      <c r="E19" s="12">
        <f t="shared" si="2"/>
        <v>0</v>
      </c>
      <c r="F19" s="76"/>
      <c r="G19" s="70"/>
      <c r="H19" s="12">
        <f t="shared" si="3"/>
        <v>0</v>
      </c>
      <c r="I19" s="77"/>
      <c r="J19" s="19"/>
      <c r="K19" s="12">
        <f t="shared" si="8"/>
        <v>0</v>
      </c>
      <c r="L19" s="77"/>
      <c r="M19" s="70"/>
      <c r="N19" s="12">
        <f t="shared" ref="N19" si="10">SUM(L19:M19)</f>
        <v>0</v>
      </c>
      <c r="O19" s="26"/>
    </row>
    <row r="20" spans="1:15" s="26" customFormat="1" ht="17.25" customHeight="1" x14ac:dyDescent="0.2">
      <c r="A20" s="40">
        <v>10</v>
      </c>
      <c r="B20" s="113" t="s">
        <v>45</v>
      </c>
      <c r="C20" s="10">
        <f t="shared" ref="C20:E20" si="11">SUM(C3:C19)</f>
        <v>894951</v>
      </c>
      <c r="D20" s="11">
        <f t="shared" si="11"/>
        <v>6931</v>
      </c>
      <c r="E20" s="12">
        <f t="shared" si="11"/>
        <v>901882</v>
      </c>
      <c r="F20" s="10">
        <f t="shared" ref="F20:K20" si="12">SUM(F3:F19)</f>
        <v>918630</v>
      </c>
      <c r="G20" s="11">
        <f t="shared" si="12"/>
        <v>4824</v>
      </c>
      <c r="H20" s="12">
        <f>SUM(H3:H19)</f>
        <v>923454</v>
      </c>
      <c r="I20" s="10">
        <f t="shared" si="12"/>
        <v>967869</v>
      </c>
      <c r="J20" s="11">
        <f t="shared" si="12"/>
        <v>8163</v>
      </c>
      <c r="K20" s="12">
        <f t="shared" si="12"/>
        <v>976032</v>
      </c>
      <c r="L20" s="66">
        <f t="shared" si="9"/>
        <v>1.053600470265504</v>
      </c>
      <c r="M20" s="16">
        <f>J20/G20</f>
        <v>1.6921641791044777</v>
      </c>
      <c r="N20" s="17">
        <f>K20/H20</f>
        <v>1.0569362415453287</v>
      </c>
      <c r="O20" s="45"/>
    </row>
    <row r="21" spans="1:15" s="45" customFormat="1" ht="17.25" customHeight="1" x14ac:dyDescent="0.2">
      <c r="A21" s="40">
        <v>11</v>
      </c>
      <c r="B21" s="112" t="s">
        <v>107</v>
      </c>
      <c r="C21" s="84">
        <v>25928</v>
      </c>
      <c r="D21" s="70"/>
      <c r="E21" s="12">
        <f t="shared" ref="E21:E30" si="13">SUM(C21:D21)</f>
        <v>25928</v>
      </c>
      <c r="F21" s="76">
        <v>26750</v>
      </c>
      <c r="G21" s="19"/>
      <c r="H21" s="12">
        <f t="shared" ref="H21:H30" si="14">SUM(F21:G21)</f>
        <v>26750</v>
      </c>
      <c r="I21" s="84">
        <v>26306</v>
      </c>
      <c r="J21" s="70"/>
      <c r="K21" s="12">
        <f t="shared" si="8"/>
        <v>26306</v>
      </c>
      <c r="L21" s="65">
        <f t="shared" si="9"/>
        <v>0.98340186915887851</v>
      </c>
      <c r="M21" s="63"/>
      <c r="N21" s="17">
        <f>K21/H21</f>
        <v>0.98340186915887851</v>
      </c>
    </row>
    <row r="22" spans="1:15" s="45" customFormat="1" ht="17.25" customHeight="1" x14ac:dyDescent="0.2">
      <c r="A22" s="40"/>
      <c r="B22" s="112" t="s">
        <v>116</v>
      </c>
      <c r="C22" s="84"/>
      <c r="D22" s="70"/>
      <c r="E22" s="12">
        <f t="shared" si="13"/>
        <v>0</v>
      </c>
      <c r="F22" s="76"/>
      <c r="G22" s="19"/>
      <c r="H22" s="12"/>
      <c r="I22" s="84"/>
      <c r="J22" s="70"/>
      <c r="K22" s="12">
        <f t="shared" si="8"/>
        <v>0</v>
      </c>
      <c r="L22" s="65"/>
      <c r="M22" s="63"/>
      <c r="N22" s="17"/>
    </row>
    <row r="23" spans="1:15" s="45" customFormat="1" ht="17.25" customHeight="1" x14ac:dyDescent="0.2">
      <c r="A23" s="40">
        <v>12</v>
      </c>
      <c r="B23" s="112" t="s">
        <v>26</v>
      </c>
      <c r="C23" s="84">
        <v>953</v>
      </c>
      <c r="D23" s="70"/>
      <c r="E23" s="12">
        <f t="shared" si="13"/>
        <v>953</v>
      </c>
      <c r="F23" s="76">
        <v>2080</v>
      </c>
      <c r="G23" s="19"/>
      <c r="H23" s="12">
        <f t="shared" si="14"/>
        <v>2080</v>
      </c>
      <c r="I23" s="84">
        <v>940</v>
      </c>
      <c r="J23" s="70"/>
      <c r="K23" s="12">
        <f t="shared" si="8"/>
        <v>940</v>
      </c>
      <c r="L23" s="65">
        <f t="shared" si="9"/>
        <v>0.45192307692307693</v>
      </c>
      <c r="M23" s="63"/>
      <c r="N23" s="17">
        <f>K23/H23</f>
        <v>0.45192307692307693</v>
      </c>
    </row>
    <row r="24" spans="1:15" s="45" customFormat="1" ht="17.25" customHeight="1" x14ac:dyDescent="0.2">
      <c r="A24" s="40">
        <v>13</v>
      </c>
      <c r="B24" s="112" t="s">
        <v>27</v>
      </c>
      <c r="C24" s="84">
        <v>7615</v>
      </c>
      <c r="D24" s="70"/>
      <c r="E24" s="12">
        <f t="shared" si="13"/>
        <v>7615</v>
      </c>
      <c r="F24" s="76">
        <v>8000</v>
      </c>
      <c r="G24" s="19"/>
      <c r="H24" s="12">
        <f t="shared" si="14"/>
        <v>8000</v>
      </c>
      <c r="I24" s="84">
        <v>8271</v>
      </c>
      <c r="J24" s="70"/>
      <c r="K24" s="12">
        <f t="shared" si="8"/>
        <v>8271</v>
      </c>
      <c r="L24" s="65">
        <f t="shared" si="9"/>
        <v>1.0338750000000001</v>
      </c>
      <c r="M24" s="63"/>
      <c r="N24" s="17">
        <f>K24/H24</f>
        <v>1.0338750000000001</v>
      </c>
    </row>
    <row r="25" spans="1:15" s="41" customFormat="1" ht="17.25" customHeight="1" x14ac:dyDescent="0.2">
      <c r="A25" s="40">
        <v>14</v>
      </c>
      <c r="B25" s="112" t="s">
        <v>28</v>
      </c>
      <c r="C25" s="76"/>
      <c r="D25" s="52"/>
      <c r="E25" s="12">
        <f t="shared" si="13"/>
        <v>0</v>
      </c>
      <c r="F25" s="76"/>
      <c r="G25" s="19"/>
      <c r="H25" s="12">
        <f t="shared" si="14"/>
        <v>0</v>
      </c>
      <c r="I25" s="76"/>
      <c r="J25" s="52"/>
      <c r="K25" s="12">
        <f t="shared" si="8"/>
        <v>0</v>
      </c>
      <c r="L25" s="65"/>
      <c r="M25" s="63"/>
      <c r="N25" s="17"/>
      <c r="O25" s="45"/>
    </row>
    <row r="26" spans="1:15" s="45" customFormat="1" ht="17.25" customHeight="1" x14ac:dyDescent="0.2">
      <c r="A26" s="40">
        <v>15</v>
      </c>
      <c r="B26" s="112" t="s">
        <v>29</v>
      </c>
      <c r="C26" s="84">
        <v>4746</v>
      </c>
      <c r="D26" s="70"/>
      <c r="E26" s="12">
        <f t="shared" si="13"/>
        <v>4746</v>
      </c>
      <c r="F26" s="76">
        <v>4900</v>
      </c>
      <c r="G26" s="19"/>
      <c r="H26" s="12">
        <f t="shared" si="14"/>
        <v>4900</v>
      </c>
      <c r="I26" s="84">
        <v>5029</v>
      </c>
      <c r="J26" s="70"/>
      <c r="K26" s="12">
        <f t="shared" si="8"/>
        <v>5029</v>
      </c>
      <c r="L26" s="65">
        <f>I26/F26</f>
        <v>1.0263265306122449</v>
      </c>
      <c r="M26" s="63"/>
      <c r="N26" s="17">
        <f>K26/H26</f>
        <v>1.0263265306122449</v>
      </c>
    </row>
    <row r="27" spans="1:15" s="45" customFormat="1" ht="17.25" customHeight="1" x14ac:dyDescent="0.2">
      <c r="A27" s="40">
        <v>16</v>
      </c>
      <c r="B27" s="112" t="s">
        <v>101</v>
      </c>
      <c r="C27" s="76"/>
      <c r="D27" s="70">
        <v>1890</v>
      </c>
      <c r="E27" s="12">
        <f t="shared" si="13"/>
        <v>1890</v>
      </c>
      <c r="F27" s="76"/>
      <c r="G27" s="70">
        <v>2040</v>
      </c>
      <c r="H27" s="12">
        <f t="shared" si="14"/>
        <v>2040</v>
      </c>
      <c r="I27" s="76"/>
      <c r="J27" s="70">
        <v>1740</v>
      </c>
      <c r="K27" s="12">
        <f t="shared" si="8"/>
        <v>1740</v>
      </c>
      <c r="L27" s="65"/>
      <c r="M27" s="63">
        <f>J27/G27</f>
        <v>0.8529411764705882</v>
      </c>
      <c r="N27" s="17">
        <f>K27/H27</f>
        <v>0.8529411764705882</v>
      </c>
    </row>
    <row r="28" spans="1:15" s="45" customFormat="1" ht="17.25" customHeight="1" x14ac:dyDescent="0.2">
      <c r="A28" s="40">
        <v>17</v>
      </c>
      <c r="B28" s="112" t="s">
        <v>91</v>
      </c>
      <c r="C28" s="76">
        <v>1878</v>
      </c>
      <c r="D28" s="70"/>
      <c r="E28" s="12">
        <f t="shared" si="13"/>
        <v>1878</v>
      </c>
      <c r="F28" s="76"/>
      <c r="G28" s="19"/>
      <c r="H28" s="12">
        <f t="shared" si="14"/>
        <v>0</v>
      </c>
      <c r="I28" s="76">
        <v>2804</v>
      </c>
      <c r="J28" s="70"/>
      <c r="K28" s="12">
        <f t="shared" si="8"/>
        <v>2804</v>
      </c>
      <c r="L28" s="65"/>
      <c r="M28" s="63"/>
      <c r="N28" s="17"/>
    </row>
    <row r="29" spans="1:15" s="45" customFormat="1" ht="17.25" customHeight="1" x14ac:dyDescent="0.2">
      <c r="A29" s="40">
        <v>18</v>
      </c>
      <c r="B29" s="111" t="s">
        <v>100</v>
      </c>
      <c r="C29" s="84">
        <v>1802</v>
      </c>
      <c r="D29" s="70"/>
      <c r="E29" s="12">
        <f t="shared" si="13"/>
        <v>1802</v>
      </c>
      <c r="F29" s="76">
        <v>2000</v>
      </c>
      <c r="G29" s="52"/>
      <c r="H29" s="12">
        <f t="shared" si="14"/>
        <v>2000</v>
      </c>
      <c r="I29" s="84">
        <v>1775</v>
      </c>
      <c r="J29" s="70"/>
      <c r="K29" s="12">
        <f t="shared" si="8"/>
        <v>1775</v>
      </c>
      <c r="L29" s="65">
        <f>I29/F29</f>
        <v>0.88749999999999996</v>
      </c>
      <c r="M29" s="63"/>
      <c r="N29" s="17">
        <f>K29/H29</f>
        <v>0.88749999999999996</v>
      </c>
    </row>
    <row r="30" spans="1:15" s="45" customFormat="1" ht="17.25" customHeight="1" x14ac:dyDescent="0.2">
      <c r="A30" s="40">
        <v>19</v>
      </c>
      <c r="B30" s="114" t="s">
        <v>47</v>
      </c>
      <c r="C30" s="84">
        <v>913</v>
      </c>
      <c r="D30" s="70"/>
      <c r="E30" s="12">
        <f t="shared" si="13"/>
        <v>913</v>
      </c>
      <c r="F30" s="76"/>
      <c r="G30" s="27"/>
      <c r="H30" s="12">
        <f t="shared" si="14"/>
        <v>0</v>
      </c>
      <c r="I30" s="84">
        <v>1862</v>
      </c>
      <c r="J30" s="70"/>
      <c r="K30" s="12">
        <f t="shared" si="8"/>
        <v>1862</v>
      </c>
      <c r="L30" s="65"/>
      <c r="M30" s="63"/>
      <c r="N30" s="17"/>
      <c r="O30" s="26"/>
    </row>
    <row r="31" spans="1:15" s="26" customFormat="1" ht="17.25" customHeight="1" x14ac:dyDescent="0.2">
      <c r="A31" s="40">
        <v>20</v>
      </c>
      <c r="B31" s="9" t="s">
        <v>46</v>
      </c>
      <c r="C31" s="10">
        <f t="shared" ref="C31:E31" si="15">SUM(C21:C30)</f>
        <v>43835</v>
      </c>
      <c r="D31" s="11">
        <f t="shared" si="15"/>
        <v>1890</v>
      </c>
      <c r="E31" s="12">
        <f t="shared" si="15"/>
        <v>45725</v>
      </c>
      <c r="F31" s="10">
        <f t="shared" ref="F31:K31" si="16">SUM(F21:F30)</f>
        <v>43730</v>
      </c>
      <c r="G31" s="11">
        <f t="shared" si="16"/>
        <v>2040</v>
      </c>
      <c r="H31" s="12">
        <f t="shared" si="16"/>
        <v>45770</v>
      </c>
      <c r="I31" s="10">
        <f t="shared" si="16"/>
        <v>46987</v>
      </c>
      <c r="J31" s="11">
        <f t="shared" si="16"/>
        <v>1740</v>
      </c>
      <c r="K31" s="12">
        <f t="shared" si="16"/>
        <v>48727</v>
      </c>
      <c r="L31" s="66">
        <f>I31/F31</f>
        <v>1.0744797621769953</v>
      </c>
      <c r="M31" s="16"/>
      <c r="N31" s="17">
        <f>K31/H31</f>
        <v>1.0646056368800525</v>
      </c>
      <c r="O31" s="62"/>
    </row>
    <row r="32" spans="1:15" s="62" customFormat="1" ht="17.25" customHeight="1" x14ac:dyDescent="0.2">
      <c r="A32" s="40">
        <v>21</v>
      </c>
      <c r="B32" s="9" t="s">
        <v>30</v>
      </c>
      <c r="C32" s="10">
        <f t="shared" ref="C32:E32" si="17">SUM(C31,C20)</f>
        <v>938786</v>
      </c>
      <c r="D32" s="11">
        <f t="shared" si="17"/>
        <v>8821</v>
      </c>
      <c r="E32" s="12">
        <f t="shared" si="17"/>
        <v>947607</v>
      </c>
      <c r="F32" s="10">
        <f t="shared" ref="F32:K32" si="18">SUM(F31,F20)</f>
        <v>962360</v>
      </c>
      <c r="G32" s="11">
        <f t="shared" si="18"/>
        <v>6864</v>
      </c>
      <c r="H32" s="12">
        <f t="shared" si="18"/>
        <v>969224</v>
      </c>
      <c r="I32" s="13">
        <f t="shared" si="18"/>
        <v>1014856</v>
      </c>
      <c r="J32" s="11">
        <f t="shared" si="18"/>
        <v>9903</v>
      </c>
      <c r="K32" s="12">
        <f t="shared" si="18"/>
        <v>1024759</v>
      </c>
      <c r="L32" s="66">
        <f>I32/F32</f>
        <v>1.0545492331352093</v>
      </c>
      <c r="M32" s="16">
        <f>J32/G32</f>
        <v>1.4427447552447552</v>
      </c>
      <c r="N32" s="17">
        <f>K32/H32</f>
        <v>1.0572984160524295</v>
      </c>
    </row>
    <row r="33" spans="1:15" s="62" customFormat="1" ht="17.25" customHeight="1" x14ac:dyDescent="0.2">
      <c r="A33" s="40">
        <v>22</v>
      </c>
      <c r="B33" s="115" t="s">
        <v>109</v>
      </c>
      <c r="C33" s="279">
        <v>222675</v>
      </c>
      <c r="D33" s="98"/>
      <c r="E33" s="94">
        <f t="shared" ref="E33:E40" si="19">SUM(C33:D33)</f>
        <v>222675</v>
      </c>
      <c r="F33" s="96">
        <v>232043</v>
      </c>
      <c r="G33" s="70"/>
      <c r="H33" s="12">
        <f>SUM(F33:G33)</f>
        <v>232043</v>
      </c>
      <c r="I33" s="97">
        <v>242332</v>
      </c>
      <c r="J33" s="98"/>
      <c r="K33" s="94">
        <f t="shared" ref="K33:K41" si="20">SUM(I33:J33)</f>
        <v>242332</v>
      </c>
      <c r="L33" s="65">
        <f>I33/F33</f>
        <v>1.0443409195709417</v>
      </c>
      <c r="M33" s="63"/>
      <c r="N33" s="17">
        <f>K33/H33</f>
        <v>1.0443409195709417</v>
      </c>
    </row>
    <row r="34" spans="1:15" s="62" customFormat="1" ht="17.25" customHeight="1" x14ac:dyDescent="0.2">
      <c r="A34" s="40"/>
      <c r="B34" s="115" t="s">
        <v>120</v>
      </c>
      <c r="C34" s="279">
        <v>5166</v>
      </c>
      <c r="D34" s="98"/>
      <c r="E34" s="94">
        <f t="shared" si="19"/>
        <v>5166</v>
      </c>
      <c r="F34" s="96">
        <v>5803</v>
      </c>
      <c r="G34" s="110"/>
      <c r="H34" s="12">
        <f>SUM(F34:G34)</f>
        <v>5803</v>
      </c>
      <c r="I34" s="97">
        <v>5385</v>
      </c>
      <c r="J34" s="98"/>
      <c r="K34" s="94">
        <f t="shared" si="20"/>
        <v>5385</v>
      </c>
      <c r="L34" s="65">
        <f t="shared" ref="L34:L38" si="21">I34/F34</f>
        <v>0.92796829226262278</v>
      </c>
      <c r="M34" s="63"/>
      <c r="N34" s="17">
        <f t="shared" ref="N34:N38" si="22">K34/H34</f>
        <v>0.92796829226262278</v>
      </c>
    </row>
    <row r="35" spans="1:15" s="62" customFormat="1" ht="17.25" customHeight="1" x14ac:dyDescent="0.2">
      <c r="A35" s="40"/>
      <c r="B35" s="115" t="s">
        <v>121</v>
      </c>
      <c r="C35" s="279"/>
      <c r="D35" s="98">
        <v>10</v>
      </c>
      <c r="E35" s="94">
        <f t="shared" si="19"/>
        <v>10</v>
      </c>
      <c r="F35" s="96"/>
      <c r="G35" s="110"/>
      <c r="H35" s="12"/>
      <c r="I35" s="97"/>
      <c r="J35" s="98">
        <v>18</v>
      </c>
      <c r="K35" s="94">
        <f t="shared" si="20"/>
        <v>18</v>
      </c>
      <c r="L35" s="65"/>
      <c r="M35" s="63"/>
      <c r="N35" s="17"/>
    </row>
    <row r="36" spans="1:15" s="41" customFormat="1" ht="17.25" customHeight="1" x14ac:dyDescent="0.2">
      <c r="A36" s="40">
        <v>28</v>
      </c>
      <c r="B36" s="115" t="s">
        <v>31</v>
      </c>
      <c r="C36" s="99">
        <v>2969</v>
      </c>
      <c r="D36" s="100"/>
      <c r="E36" s="94">
        <f t="shared" si="19"/>
        <v>2969</v>
      </c>
      <c r="F36" s="76">
        <v>3000</v>
      </c>
      <c r="G36" s="27"/>
      <c r="H36" s="12">
        <f t="shared" ref="H36:H40" si="23">SUM(F36:G36)</f>
        <v>3000</v>
      </c>
      <c r="I36" s="99">
        <v>3095</v>
      </c>
      <c r="J36" s="100"/>
      <c r="K36" s="94">
        <f t="shared" si="20"/>
        <v>3095</v>
      </c>
      <c r="L36" s="65">
        <f t="shared" si="21"/>
        <v>1.0316666666666667</v>
      </c>
      <c r="M36" s="63"/>
      <c r="N36" s="17">
        <f t="shared" si="22"/>
        <v>1.0316666666666667</v>
      </c>
      <c r="O36" s="45"/>
    </row>
    <row r="37" spans="1:15" s="45" customFormat="1" ht="17.25" customHeight="1" x14ac:dyDescent="0.2">
      <c r="A37" s="40">
        <v>29</v>
      </c>
      <c r="B37" s="115" t="s">
        <v>32</v>
      </c>
      <c r="C37" s="99">
        <v>7002</v>
      </c>
      <c r="D37" s="101"/>
      <c r="E37" s="94">
        <f t="shared" si="19"/>
        <v>7002</v>
      </c>
      <c r="F37" s="76">
        <v>6000</v>
      </c>
      <c r="G37" s="27"/>
      <c r="H37" s="12">
        <f t="shared" si="23"/>
        <v>6000</v>
      </c>
      <c r="I37" s="99">
        <v>5094</v>
      </c>
      <c r="J37" s="101"/>
      <c r="K37" s="94">
        <f t="shared" si="20"/>
        <v>5094</v>
      </c>
      <c r="L37" s="65">
        <f t="shared" si="21"/>
        <v>0.84899999999999998</v>
      </c>
      <c r="M37" s="63"/>
      <c r="N37" s="17">
        <f t="shared" si="22"/>
        <v>0.84899999999999998</v>
      </c>
    </row>
    <row r="38" spans="1:15" s="45" customFormat="1" ht="17.25" customHeight="1" x14ac:dyDescent="0.2">
      <c r="A38" s="40">
        <v>30</v>
      </c>
      <c r="B38" s="115" t="s">
        <v>33</v>
      </c>
      <c r="C38" s="102">
        <v>5404</v>
      </c>
      <c r="D38" s="101"/>
      <c r="E38" s="94">
        <f t="shared" si="19"/>
        <v>5404</v>
      </c>
      <c r="F38" s="76">
        <v>6390</v>
      </c>
      <c r="G38" s="27"/>
      <c r="H38" s="12">
        <f t="shared" si="23"/>
        <v>6390</v>
      </c>
      <c r="I38" s="102">
        <v>5145</v>
      </c>
      <c r="J38" s="101"/>
      <c r="K38" s="94">
        <f t="shared" si="20"/>
        <v>5145</v>
      </c>
      <c r="L38" s="65">
        <f t="shared" si="21"/>
        <v>0.80516431924882625</v>
      </c>
      <c r="M38" s="63"/>
      <c r="N38" s="17">
        <f t="shared" si="22"/>
        <v>0.80516431924882625</v>
      </c>
    </row>
    <row r="39" spans="1:15" s="45" customFormat="1" ht="17.25" customHeight="1" x14ac:dyDescent="0.2">
      <c r="A39" s="40">
        <v>31</v>
      </c>
      <c r="B39" s="116" t="s">
        <v>103</v>
      </c>
      <c r="C39" s="103">
        <v>7</v>
      </c>
      <c r="D39" s="101"/>
      <c r="E39" s="104">
        <f t="shared" si="19"/>
        <v>7</v>
      </c>
      <c r="F39" s="121"/>
      <c r="G39" s="27"/>
      <c r="H39" s="12">
        <f t="shared" si="23"/>
        <v>0</v>
      </c>
      <c r="I39" s="103"/>
      <c r="J39" s="101"/>
      <c r="K39" s="104">
        <f t="shared" si="20"/>
        <v>0</v>
      </c>
      <c r="L39" s="65"/>
      <c r="M39" s="63"/>
      <c r="N39" s="17"/>
    </row>
    <row r="40" spans="1:15" s="45" customFormat="1" ht="17.25" customHeight="1" x14ac:dyDescent="0.2">
      <c r="A40" s="40">
        <v>32</v>
      </c>
      <c r="B40" s="116" t="s">
        <v>108</v>
      </c>
      <c r="C40" s="103">
        <v>274</v>
      </c>
      <c r="D40" s="101"/>
      <c r="E40" s="104">
        <f t="shared" si="19"/>
        <v>274</v>
      </c>
      <c r="F40" s="121">
        <v>400</v>
      </c>
      <c r="G40" s="27"/>
      <c r="H40" s="12">
        <f t="shared" si="23"/>
        <v>400</v>
      </c>
      <c r="I40" s="103">
        <v>365</v>
      </c>
      <c r="J40" s="101"/>
      <c r="K40" s="104">
        <f t="shared" si="20"/>
        <v>365</v>
      </c>
      <c r="L40" s="65">
        <f t="shared" ref="L40" si="24">I40/F40</f>
        <v>0.91249999999999998</v>
      </c>
      <c r="M40" s="63"/>
      <c r="N40" s="17">
        <f t="shared" ref="N40" si="25">K40/H40</f>
        <v>0.91249999999999998</v>
      </c>
      <c r="O40" s="26"/>
    </row>
    <row r="41" spans="1:15" s="26" customFormat="1" ht="17.25" customHeight="1" x14ac:dyDescent="0.2">
      <c r="A41" s="40">
        <v>33</v>
      </c>
      <c r="B41" s="117" t="s">
        <v>48</v>
      </c>
      <c r="C41" s="95">
        <f t="shared" ref="C41:E41" si="26">SUM(C33:C40)</f>
        <v>243497</v>
      </c>
      <c r="D41" s="11">
        <f t="shared" si="26"/>
        <v>10</v>
      </c>
      <c r="E41" s="78">
        <f t="shared" si="26"/>
        <v>243507</v>
      </c>
      <c r="F41" s="95">
        <f t="shared" ref="F41:J41" si="27">SUM(F33:F40)</f>
        <v>253636</v>
      </c>
      <c r="G41" s="11">
        <f t="shared" si="27"/>
        <v>0</v>
      </c>
      <c r="H41" s="78">
        <f t="shared" si="27"/>
        <v>253636</v>
      </c>
      <c r="I41" s="95">
        <f t="shared" si="27"/>
        <v>261416</v>
      </c>
      <c r="J41" s="11">
        <f t="shared" si="27"/>
        <v>18</v>
      </c>
      <c r="K41" s="104">
        <f t="shared" si="20"/>
        <v>261434</v>
      </c>
      <c r="L41" s="66">
        <f>I41/F41</f>
        <v>1.0306738791023355</v>
      </c>
      <c r="M41" s="16"/>
      <c r="N41" s="17">
        <f>K41/H41</f>
        <v>1.0307448469460172</v>
      </c>
    </row>
    <row r="42" spans="1:15" s="26" customFormat="1" ht="17.25" customHeight="1" thickBot="1" x14ac:dyDescent="0.25">
      <c r="A42" s="43">
        <v>34</v>
      </c>
      <c r="B42" s="29" t="s">
        <v>49</v>
      </c>
      <c r="C42" s="79">
        <f t="shared" ref="C42:E42" si="28">C32+C41</f>
        <v>1182283</v>
      </c>
      <c r="D42" s="30">
        <f t="shared" si="28"/>
        <v>8831</v>
      </c>
      <c r="E42" s="80">
        <f t="shared" si="28"/>
        <v>1191114</v>
      </c>
      <c r="F42" s="79">
        <f t="shared" ref="F42:K42" si="29">F32+F41</f>
        <v>1215996</v>
      </c>
      <c r="G42" s="30">
        <f t="shared" si="29"/>
        <v>6864</v>
      </c>
      <c r="H42" s="80">
        <f t="shared" si="29"/>
        <v>1222860</v>
      </c>
      <c r="I42" s="57">
        <f t="shared" si="29"/>
        <v>1276272</v>
      </c>
      <c r="J42" s="30">
        <f t="shared" si="29"/>
        <v>9921</v>
      </c>
      <c r="K42" s="80">
        <f t="shared" si="29"/>
        <v>1286193</v>
      </c>
      <c r="L42" s="67">
        <f>I42/F42</f>
        <v>1.0495692420040856</v>
      </c>
      <c r="M42" s="32">
        <f>J42/G42</f>
        <v>1.4453671328671329</v>
      </c>
      <c r="N42" s="33">
        <f>K42/H42</f>
        <v>1.0517908836661596</v>
      </c>
      <c r="O42" s="8"/>
    </row>
  </sheetData>
  <mergeCells count="5">
    <mergeCell ref="F1:H1"/>
    <mergeCell ref="I1:K1"/>
    <mergeCell ref="L1:N1"/>
    <mergeCell ref="A1:B2"/>
    <mergeCell ref="C1:E1"/>
  </mergeCells>
  <phoneticPr fontId="0" type="noConversion"/>
  <conditionalFormatting sqref="B33:E40 C1:E42 F1:N1048576">
    <cfRule type="cellIs" dxfId="10" priority="37" stopIfTrue="1" operator="equal">
      <formula>0</formula>
    </cfRule>
  </conditionalFormatting>
  <printOptions horizontalCentered="1" verticalCentered="1"/>
  <pageMargins left="0" right="0" top="0.6692913385826772" bottom="0.31496062992125984" header="0.31496062992125984" footer="0.15748031496062992"/>
  <pageSetup paperSize="9" scale="67" orientation="landscape" r:id="rId1"/>
  <headerFooter alignWithMargins="0">
    <oddHeader>&amp;CXIII. Kerületi Egészségügy Szolgálat Nonprofit Kft.
2016. évi bérköltsége kifizetési jogcímenkénti bontásban
(adatok e Ft-ban)&amp;R7. sz. melléklet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zoomScaleNormal="100" workbookViewId="0">
      <selection activeCell="G1" sqref="G1"/>
    </sheetView>
  </sheetViews>
  <sheetFormatPr defaultRowHeight="21" customHeight="1" x14ac:dyDescent="0.2"/>
  <cols>
    <col min="1" max="1" width="3.7109375" style="3" customWidth="1"/>
    <col min="2" max="2" width="38.7109375" style="8" customWidth="1"/>
    <col min="3" max="4" width="17.7109375" style="8" customWidth="1"/>
    <col min="5" max="5" width="17.7109375" style="49" customWidth="1"/>
    <col min="6" max="6" width="17.7109375" style="50" customWidth="1"/>
    <col min="7" max="16384" width="9.140625" style="8"/>
  </cols>
  <sheetData>
    <row r="1" spans="1:6" ht="42" customHeight="1" x14ac:dyDescent="0.2">
      <c r="A1" s="623" t="s">
        <v>0</v>
      </c>
      <c r="B1" s="653"/>
      <c r="C1" s="285" t="s">
        <v>253</v>
      </c>
      <c r="D1" s="128" t="s">
        <v>123</v>
      </c>
      <c r="E1" s="285" t="s">
        <v>254</v>
      </c>
      <c r="F1" s="85" t="s">
        <v>256</v>
      </c>
    </row>
    <row r="2" spans="1:6" ht="21" customHeight="1" x14ac:dyDescent="0.2">
      <c r="A2" s="46">
        <v>1</v>
      </c>
      <c r="B2" s="47" t="s">
        <v>50</v>
      </c>
      <c r="C2" s="70">
        <v>163568</v>
      </c>
      <c r="D2" s="19">
        <v>160000</v>
      </c>
      <c r="E2" s="70">
        <v>167500</v>
      </c>
      <c r="F2" s="22">
        <f t="shared" ref="F2:F8" si="0">E2/D2</f>
        <v>1.046875</v>
      </c>
    </row>
    <row r="3" spans="1:6" ht="21" customHeight="1" x14ac:dyDescent="0.2">
      <c r="A3" s="46">
        <v>2</v>
      </c>
      <c r="B3" s="47" t="s">
        <v>51</v>
      </c>
      <c r="C3" s="70">
        <v>10615</v>
      </c>
      <c r="D3" s="19">
        <v>13000</v>
      </c>
      <c r="E3" s="70">
        <v>9881</v>
      </c>
      <c r="F3" s="22">
        <f t="shared" si="0"/>
        <v>0.76007692307692309</v>
      </c>
    </row>
    <row r="4" spans="1:6" ht="21" customHeight="1" x14ac:dyDescent="0.2">
      <c r="A4" s="46">
        <v>3</v>
      </c>
      <c r="B4" s="47" t="s">
        <v>52</v>
      </c>
      <c r="C4" s="83">
        <v>9015</v>
      </c>
      <c r="D4" s="19">
        <v>10000</v>
      </c>
      <c r="E4" s="83">
        <v>8098</v>
      </c>
      <c r="F4" s="22">
        <f t="shared" si="0"/>
        <v>0.80979999999999996</v>
      </c>
    </row>
    <row r="5" spans="1:6" ht="21" customHeight="1" x14ac:dyDescent="0.2">
      <c r="A5" s="46">
        <v>4</v>
      </c>
      <c r="B5" s="47" t="s">
        <v>53</v>
      </c>
      <c r="C5" s="19">
        <v>1964</v>
      </c>
      <c r="D5" s="19">
        <v>2500</v>
      </c>
      <c r="E5" s="19">
        <v>2303</v>
      </c>
      <c r="F5" s="22">
        <f t="shared" si="0"/>
        <v>0.92120000000000002</v>
      </c>
    </row>
    <row r="6" spans="1:6" ht="21" customHeight="1" x14ac:dyDescent="0.2">
      <c r="A6" s="46">
        <v>5</v>
      </c>
      <c r="B6" s="47" t="s">
        <v>54</v>
      </c>
      <c r="C6" s="83">
        <v>947</v>
      </c>
      <c r="D6" s="19">
        <v>1000</v>
      </c>
      <c r="E6" s="83">
        <v>1489</v>
      </c>
      <c r="F6" s="22">
        <f t="shared" si="0"/>
        <v>1.4890000000000001</v>
      </c>
    </row>
    <row r="7" spans="1:6" ht="21" customHeight="1" x14ac:dyDescent="0.2">
      <c r="A7" s="46">
        <v>6</v>
      </c>
      <c r="B7" s="47" t="s">
        <v>55</v>
      </c>
      <c r="C7" s="19">
        <v>3022</v>
      </c>
      <c r="D7" s="19">
        <v>2500</v>
      </c>
      <c r="E7" s="19">
        <v>3415</v>
      </c>
      <c r="F7" s="22">
        <f t="shared" si="0"/>
        <v>1.3660000000000001</v>
      </c>
    </row>
    <row r="8" spans="1:6" s="26" customFormat="1" ht="21" customHeight="1" x14ac:dyDescent="0.2">
      <c r="A8" s="6">
        <v>7</v>
      </c>
      <c r="B8" s="48" t="s">
        <v>3</v>
      </c>
      <c r="C8" s="11">
        <f>SUM(C2:C7)</f>
        <v>189131</v>
      </c>
      <c r="D8" s="11">
        <f>SUM(D2:D7)</f>
        <v>189000</v>
      </c>
      <c r="E8" s="11">
        <f>SUM(E2:E7)</f>
        <v>192686</v>
      </c>
      <c r="F8" s="16">
        <f t="shared" si="0"/>
        <v>1.0195026455026455</v>
      </c>
    </row>
  </sheetData>
  <mergeCells count="1">
    <mergeCell ref="A1:B1"/>
  </mergeCells>
  <phoneticPr fontId="0" type="noConversion"/>
  <conditionalFormatting sqref="A1:XFD1048576">
    <cfRule type="cellIs" dxfId="9" priority="4" stopIfTrue="1" operator="equal">
      <formula>0</formula>
    </cfRule>
  </conditionalFormatting>
  <printOptions horizontalCentered="1"/>
  <pageMargins left="0.78740157480314965" right="0.78740157480314965" top="1.7716535433070868" bottom="0.98425196850393704" header="0.51181102362204722" footer="0.51181102362204722"/>
  <pageSetup paperSize="9" orientation="landscape" r:id="rId1"/>
  <headerFooter alignWithMargins="0">
    <oddHeader>&amp;CXIII. Kerületi Egészségügyi Szolgálat Nonprofit Kft.
2016. évi anyagköltsége&amp;R8. sz. melléklet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zoomScale="90" zoomScaleNormal="90" workbookViewId="0">
      <selection activeCell="G1" sqref="G1"/>
    </sheetView>
  </sheetViews>
  <sheetFormatPr defaultRowHeight="21" customHeight="1" x14ac:dyDescent="0.2"/>
  <cols>
    <col min="1" max="1" width="3.7109375" style="3" customWidth="1"/>
    <col min="2" max="2" width="70.28515625" style="8" customWidth="1"/>
    <col min="3" max="3" width="17.85546875" style="8" customWidth="1"/>
    <col min="4" max="5" width="17.85546875" style="49" customWidth="1"/>
    <col min="6" max="6" width="17.85546875" style="55" customWidth="1"/>
    <col min="7" max="16384" width="9.140625" style="8"/>
  </cols>
  <sheetData>
    <row r="1" spans="1:6" ht="42" customHeight="1" x14ac:dyDescent="0.2">
      <c r="A1" s="618" t="s">
        <v>0</v>
      </c>
      <c r="B1" s="618"/>
      <c r="C1" s="285" t="s">
        <v>253</v>
      </c>
      <c r="D1" s="128" t="s">
        <v>123</v>
      </c>
      <c r="E1" s="285" t="s">
        <v>254</v>
      </c>
      <c r="F1" s="85" t="s">
        <v>256</v>
      </c>
    </row>
    <row r="2" spans="1:6" ht="19.5" customHeight="1" x14ac:dyDescent="0.2">
      <c r="A2" s="46">
        <v>1</v>
      </c>
      <c r="B2" s="47" t="s">
        <v>56</v>
      </c>
      <c r="C2" s="70">
        <v>52320</v>
      </c>
      <c r="D2" s="19">
        <v>61356</v>
      </c>
      <c r="E2" s="70">
        <v>56156</v>
      </c>
      <c r="F2" s="22">
        <f t="shared" ref="F2:F22" si="0">E2/D2</f>
        <v>0.91524871243236194</v>
      </c>
    </row>
    <row r="3" spans="1:6" ht="19.5" customHeight="1" x14ac:dyDescent="0.2">
      <c r="A3" s="46">
        <v>2</v>
      </c>
      <c r="B3" s="47" t="s">
        <v>57</v>
      </c>
      <c r="C3" s="19">
        <v>6603</v>
      </c>
      <c r="D3" s="19">
        <v>8000</v>
      </c>
      <c r="E3" s="19">
        <v>6746</v>
      </c>
      <c r="F3" s="22">
        <f t="shared" si="0"/>
        <v>0.84325000000000006</v>
      </c>
    </row>
    <row r="4" spans="1:6" ht="19.5" customHeight="1" x14ac:dyDescent="0.2">
      <c r="A4" s="46">
        <v>3</v>
      </c>
      <c r="B4" s="47" t="s">
        <v>112</v>
      </c>
      <c r="C4" s="19">
        <v>23548</v>
      </c>
      <c r="D4" s="19">
        <v>23000</v>
      </c>
      <c r="E4" s="19">
        <v>23976</v>
      </c>
      <c r="F4" s="22">
        <f t="shared" si="0"/>
        <v>1.0424347826086957</v>
      </c>
    </row>
    <row r="5" spans="1:6" ht="19.5" customHeight="1" x14ac:dyDescent="0.2">
      <c r="A5" s="46">
        <v>4</v>
      </c>
      <c r="B5" s="47" t="s">
        <v>58</v>
      </c>
      <c r="C5" s="19">
        <v>61153</v>
      </c>
      <c r="D5" s="19">
        <v>53369</v>
      </c>
      <c r="E5" s="19">
        <v>73145</v>
      </c>
      <c r="F5" s="22">
        <f t="shared" si="0"/>
        <v>1.3705521932207836</v>
      </c>
    </row>
    <row r="6" spans="1:6" ht="19.5" customHeight="1" x14ac:dyDescent="0.2">
      <c r="A6" s="46"/>
      <c r="B6" s="51" t="s">
        <v>118</v>
      </c>
      <c r="C6" s="92">
        <v>5112</v>
      </c>
      <c r="D6" s="52">
        <v>5500</v>
      </c>
      <c r="E6" s="92">
        <v>5725</v>
      </c>
      <c r="F6" s="53">
        <f t="shared" si="0"/>
        <v>1.040909090909091</v>
      </c>
    </row>
    <row r="7" spans="1:6" ht="19.5" customHeight="1" x14ac:dyDescent="0.2">
      <c r="A7" s="46"/>
      <c r="B7" s="54" t="s">
        <v>34</v>
      </c>
      <c r="C7" s="92">
        <v>17714</v>
      </c>
      <c r="D7" s="52">
        <v>16140</v>
      </c>
      <c r="E7" s="92">
        <v>18294</v>
      </c>
      <c r="F7" s="53">
        <f t="shared" si="0"/>
        <v>1.1334572490706321</v>
      </c>
    </row>
    <row r="8" spans="1:6" ht="19.5" customHeight="1" x14ac:dyDescent="0.2">
      <c r="A8" s="46"/>
      <c r="B8" s="54" t="s">
        <v>35</v>
      </c>
      <c r="C8" s="92">
        <v>1847</v>
      </c>
      <c r="D8" s="52">
        <v>2160</v>
      </c>
      <c r="E8" s="92">
        <v>1863</v>
      </c>
      <c r="F8" s="53">
        <f t="shared" si="0"/>
        <v>0.86250000000000004</v>
      </c>
    </row>
    <row r="9" spans="1:6" ht="19.5" customHeight="1" x14ac:dyDescent="0.2">
      <c r="A9" s="46"/>
      <c r="B9" s="54" t="s">
        <v>111</v>
      </c>
      <c r="C9" s="92">
        <v>11043</v>
      </c>
      <c r="D9" s="52">
        <v>9520</v>
      </c>
      <c r="E9" s="92">
        <v>11512</v>
      </c>
      <c r="F9" s="53">
        <f t="shared" si="0"/>
        <v>1.2092436974789915</v>
      </c>
    </row>
    <row r="10" spans="1:6" ht="19.5" customHeight="1" x14ac:dyDescent="0.2">
      <c r="A10" s="123">
        <v>5</v>
      </c>
      <c r="B10" s="126" t="s">
        <v>119</v>
      </c>
      <c r="C10" s="98">
        <v>98016</v>
      </c>
      <c r="D10" s="19">
        <v>98015</v>
      </c>
      <c r="E10" s="98">
        <v>98016</v>
      </c>
      <c r="F10" s="53">
        <f t="shared" si="0"/>
        <v>1.0000102025200224</v>
      </c>
    </row>
    <row r="11" spans="1:6" ht="19.5" customHeight="1" x14ac:dyDescent="0.2">
      <c r="A11" s="123">
        <v>6</v>
      </c>
      <c r="B11" s="47" t="s">
        <v>36</v>
      </c>
      <c r="C11" s="70">
        <v>72503</v>
      </c>
      <c r="D11" s="19">
        <v>69000</v>
      </c>
      <c r="E11" s="70">
        <v>72502</v>
      </c>
      <c r="F11" s="22">
        <f t="shared" si="0"/>
        <v>1.0507536231884058</v>
      </c>
    </row>
    <row r="12" spans="1:6" ht="19.5" customHeight="1" x14ac:dyDescent="0.2">
      <c r="A12" s="123">
        <v>7</v>
      </c>
      <c r="B12" s="47" t="s">
        <v>37</v>
      </c>
      <c r="C12" s="19">
        <v>16984</v>
      </c>
      <c r="D12" s="19">
        <v>20000</v>
      </c>
      <c r="E12" s="19">
        <v>19135</v>
      </c>
      <c r="F12" s="22">
        <f t="shared" si="0"/>
        <v>0.95674999999999999</v>
      </c>
    </row>
    <row r="13" spans="1:6" ht="19.5" customHeight="1" x14ac:dyDescent="0.2">
      <c r="A13" s="123">
        <v>8</v>
      </c>
      <c r="B13" s="47" t="s">
        <v>38</v>
      </c>
      <c r="C13" s="70">
        <v>750</v>
      </c>
      <c r="D13" s="19">
        <v>1000</v>
      </c>
      <c r="E13" s="70">
        <v>760</v>
      </c>
      <c r="F13" s="22">
        <f t="shared" si="0"/>
        <v>0.76</v>
      </c>
    </row>
    <row r="14" spans="1:6" ht="19.5" customHeight="1" x14ac:dyDescent="0.2">
      <c r="A14" s="123">
        <v>9</v>
      </c>
      <c r="B14" s="2" t="s">
        <v>59</v>
      </c>
      <c r="C14" s="70">
        <v>956</v>
      </c>
      <c r="D14" s="19">
        <v>1000</v>
      </c>
      <c r="E14" s="70">
        <v>694</v>
      </c>
      <c r="F14" s="22">
        <f t="shared" si="0"/>
        <v>0.69399999999999995</v>
      </c>
    </row>
    <row r="15" spans="1:6" ht="19.5" customHeight="1" x14ac:dyDescent="0.2">
      <c r="A15" s="123">
        <v>10</v>
      </c>
      <c r="B15" s="47" t="s">
        <v>39</v>
      </c>
      <c r="C15" s="70">
        <v>612</v>
      </c>
      <c r="D15" s="19">
        <v>700</v>
      </c>
      <c r="E15" s="70">
        <v>1501</v>
      </c>
      <c r="F15" s="22">
        <f t="shared" si="0"/>
        <v>2.1442857142857141</v>
      </c>
    </row>
    <row r="16" spans="1:6" ht="19.5" customHeight="1" x14ac:dyDescent="0.2">
      <c r="A16" s="123">
        <v>11</v>
      </c>
      <c r="B16" s="47" t="s">
        <v>40</v>
      </c>
      <c r="C16" s="70">
        <v>5845</v>
      </c>
      <c r="D16" s="19">
        <v>6000</v>
      </c>
      <c r="E16" s="70">
        <v>5900</v>
      </c>
      <c r="F16" s="22">
        <f t="shared" si="0"/>
        <v>0.98333333333333328</v>
      </c>
    </row>
    <row r="17" spans="1:6" ht="19.5" customHeight="1" x14ac:dyDescent="0.2">
      <c r="A17" s="123">
        <v>12</v>
      </c>
      <c r="B17" s="47" t="s">
        <v>41</v>
      </c>
      <c r="C17" s="19"/>
      <c r="D17" s="19"/>
      <c r="E17" s="19"/>
      <c r="F17" s="22"/>
    </row>
    <row r="18" spans="1:6" ht="19.5" customHeight="1" x14ac:dyDescent="0.2">
      <c r="A18" s="123">
        <v>13</v>
      </c>
      <c r="B18" s="47" t="s">
        <v>92</v>
      </c>
      <c r="C18" s="19">
        <v>11978</v>
      </c>
      <c r="D18" s="19">
        <v>6500</v>
      </c>
      <c r="E18" s="19">
        <v>8848</v>
      </c>
      <c r="F18" s="22">
        <f t="shared" si="0"/>
        <v>1.3612307692307692</v>
      </c>
    </row>
    <row r="19" spans="1:6" ht="19.5" customHeight="1" x14ac:dyDescent="0.2">
      <c r="A19" s="122"/>
      <c r="B19" s="47" t="s">
        <v>115</v>
      </c>
      <c r="C19" s="19">
        <v>4715</v>
      </c>
      <c r="D19" s="19">
        <v>5300</v>
      </c>
      <c r="E19" s="19">
        <v>4941</v>
      </c>
      <c r="F19" s="22">
        <f t="shared" si="0"/>
        <v>0.93226415094339621</v>
      </c>
    </row>
    <row r="20" spans="1:6" ht="27.75" customHeight="1" x14ac:dyDescent="0.2">
      <c r="A20" s="46">
        <v>15</v>
      </c>
      <c r="B20" s="2" t="s">
        <v>93</v>
      </c>
      <c r="C20" s="19">
        <v>9211</v>
      </c>
      <c r="D20" s="19">
        <v>10000</v>
      </c>
      <c r="E20" s="19">
        <v>12732</v>
      </c>
      <c r="F20" s="22">
        <f t="shared" si="0"/>
        <v>1.2732000000000001</v>
      </c>
    </row>
    <row r="21" spans="1:6" s="26" customFormat="1" ht="19.5" customHeight="1" x14ac:dyDescent="0.2">
      <c r="A21" s="46">
        <v>15</v>
      </c>
      <c r="B21" s="48" t="s">
        <v>60</v>
      </c>
      <c r="C21" s="11">
        <f>SUM(C10:C20,C2:C5)</f>
        <v>365194</v>
      </c>
      <c r="D21" s="11">
        <f>SUM(D10:D20,D2:D5)</f>
        <v>363240</v>
      </c>
      <c r="E21" s="11">
        <f>SUM(E10:E20,E2:E5)</f>
        <v>385052</v>
      </c>
      <c r="F21" s="16">
        <f>E21/D21</f>
        <v>1.0600484528135667</v>
      </c>
    </row>
    <row r="22" spans="1:6" ht="19.5" customHeight="1" x14ac:dyDescent="0.2">
      <c r="A22" s="46">
        <v>16</v>
      </c>
      <c r="B22" s="68" t="s">
        <v>61</v>
      </c>
      <c r="C22" s="70">
        <v>7094</v>
      </c>
      <c r="D22" s="19">
        <v>6000</v>
      </c>
      <c r="E22" s="70">
        <v>8266</v>
      </c>
      <c r="F22" s="22">
        <f t="shared" si="0"/>
        <v>1.3776666666666666</v>
      </c>
    </row>
    <row r="23" spans="1:6" ht="19.5" customHeight="1" x14ac:dyDescent="0.2">
      <c r="A23" s="46">
        <v>17</v>
      </c>
      <c r="B23" s="48" t="s">
        <v>3</v>
      </c>
      <c r="C23" s="11">
        <f>SUM(C21:C22)</f>
        <v>372288</v>
      </c>
      <c r="D23" s="11">
        <f>SUM(D21:D22)</f>
        <v>369240</v>
      </c>
      <c r="E23" s="11">
        <f>SUM(E21:E22)</f>
        <v>393318</v>
      </c>
      <c r="F23" s="16">
        <f>E23/D23</f>
        <v>1.065209619759506</v>
      </c>
    </row>
    <row r="24" spans="1:6" ht="19.5" customHeight="1" x14ac:dyDescent="0.2"/>
  </sheetData>
  <mergeCells count="1">
    <mergeCell ref="A1:B1"/>
  </mergeCells>
  <phoneticPr fontId="0" type="noConversion"/>
  <conditionalFormatting sqref="A1:XFD1048576">
    <cfRule type="cellIs" dxfId="8" priority="8" stopIfTrue="1" operator="equal">
      <formula>0</formula>
    </cfRule>
  </conditionalFormatting>
  <printOptions horizontalCentered="1" verticalCentered="1"/>
  <pageMargins left="0" right="0" top="0.78740157480314965" bottom="0.39370078740157483" header="0.31496062992125984" footer="0.11811023622047245"/>
  <pageSetup paperSize="9" orientation="landscape" r:id="rId1"/>
  <headerFooter alignWithMargins="0">
    <oddHeader>&amp;CXIII. Kerületi Egészségügyi Szolgálat Nonprofit Kft.
2016. évi szolgáltatásai
&amp;R9. sz. melléklet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zoomScale="90" zoomScaleNormal="90" workbookViewId="0">
      <selection activeCell="B15" sqref="B15"/>
    </sheetView>
  </sheetViews>
  <sheetFormatPr defaultRowHeight="21" customHeight="1" x14ac:dyDescent="0.2"/>
  <cols>
    <col min="1" max="1" width="3.7109375" style="3" customWidth="1"/>
    <col min="2" max="2" width="47.42578125" style="8" customWidth="1"/>
    <col min="3" max="3" width="17.85546875" style="8" customWidth="1"/>
    <col min="4" max="5" width="17.7109375" style="49" customWidth="1"/>
    <col min="6" max="6" width="17.7109375" style="55" customWidth="1"/>
    <col min="7" max="16384" width="9.140625" style="8"/>
  </cols>
  <sheetData>
    <row r="1" spans="1:6" s="3" customFormat="1" ht="42" customHeight="1" x14ac:dyDescent="0.2">
      <c r="A1" s="618" t="s">
        <v>0</v>
      </c>
      <c r="B1" s="618"/>
      <c r="C1" s="285" t="s">
        <v>253</v>
      </c>
      <c r="D1" s="128" t="s">
        <v>123</v>
      </c>
      <c r="E1" s="285" t="s">
        <v>254</v>
      </c>
      <c r="F1" s="85" t="s">
        <v>256</v>
      </c>
    </row>
    <row r="2" spans="1:6" ht="21" customHeight="1" x14ac:dyDescent="0.2">
      <c r="A2" s="46">
        <v>1</v>
      </c>
      <c r="B2" s="47" t="s">
        <v>62</v>
      </c>
      <c r="C2" s="19">
        <v>2465</v>
      </c>
      <c r="D2" s="19">
        <v>2400</v>
      </c>
      <c r="E2" s="19">
        <v>2527</v>
      </c>
      <c r="F2" s="22">
        <f>E2/D2</f>
        <v>1.0529166666666667</v>
      </c>
    </row>
    <row r="3" spans="1:6" ht="21" customHeight="1" x14ac:dyDescent="0.2">
      <c r="A3" s="46">
        <v>2</v>
      </c>
      <c r="B3" s="47" t="s">
        <v>64</v>
      </c>
      <c r="C3" s="19">
        <v>1562</v>
      </c>
      <c r="D3" s="19">
        <v>2000</v>
      </c>
      <c r="E3" s="19">
        <v>1796</v>
      </c>
      <c r="F3" s="22">
        <f>E3/D3</f>
        <v>0.89800000000000002</v>
      </c>
    </row>
    <row r="4" spans="1:6" ht="21" customHeight="1" x14ac:dyDescent="0.2">
      <c r="A4" s="46">
        <v>3</v>
      </c>
      <c r="B4" s="47" t="s">
        <v>102</v>
      </c>
      <c r="C4" s="19"/>
      <c r="D4" s="19">
        <v>500</v>
      </c>
      <c r="E4" s="19"/>
      <c r="F4" s="22">
        <f>E4/D4</f>
        <v>0</v>
      </c>
    </row>
    <row r="5" spans="1:6" ht="21" customHeight="1" x14ac:dyDescent="0.2">
      <c r="A5" s="46">
        <v>4</v>
      </c>
      <c r="B5" s="47" t="s">
        <v>63</v>
      </c>
      <c r="C5" s="19">
        <v>14553</v>
      </c>
      <c r="D5" s="19">
        <v>7000</v>
      </c>
      <c r="E5" s="19">
        <v>13399</v>
      </c>
      <c r="F5" s="22">
        <f>E5/D5</f>
        <v>1.9141428571428571</v>
      </c>
    </row>
    <row r="6" spans="1:6" s="26" customFormat="1" ht="21" customHeight="1" x14ac:dyDescent="0.2">
      <c r="A6" s="6"/>
      <c r="B6" s="48" t="s">
        <v>3</v>
      </c>
      <c r="C6" s="11">
        <f>SUM(C2:C5)</f>
        <v>18580</v>
      </c>
      <c r="D6" s="11">
        <f>SUM(D2:D5)</f>
        <v>11900</v>
      </c>
      <c r="E6" s="11">
        <f>SUM(E2:E5)</f>
        <v>17722</v>
      </c>
      <c r="F6" s="16">
        <f>E6/D6</f>
        <v>1.4892436974789915</v>
      </c>
    </row>
  </sheetData>
  <mergeCells count="1">
    <mergeCell ref="A1:B1"/>
  </mergeCells>
  <phoneticPr fontId="0" type="noConversion"/>
  <conditionalFormatting sqref="A1:A6 B1:C3 B5:C6 C1:F6">
    <cfRule type="cellIs" dxfId="7" priority="9" stopIfTrue="1" operator="equal">
      <formula>0</formula>
    </cfRule>
  </conditionalFormatting>
  <printOptions horizontalCentered="1"/>
  <pageMargins left="0" right="0" top="1.7716535433070868" bottom="0.98425196850393704" header="0.51181102362204722" footer="0.51181102362204722"/>
  <pageSetup paperSize="9" orientation="landscape" r:id="rId1"/>
  <headerFooter alignWithMargins="0">
    <oddHeader>&amp;CXIII. Kerületi Egészségügyi Szolgálat Nonprofit Kft.
2016. évi egyéb működési költségei
&amp;R10. sz. melléklet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workbookViewId="0">
      <selection activeCell="G1" sqref="G1:G1048576"/>
    </sheetView>
  </sheetViews>
  <sheetFormatPr defaultRowHeight="19.5" customHeight="1" x14ac:dyDescent="0.2"/>
  <cols>
    <col min="1" max="1" width="37.7109375" style="8" customWidth="1"/>
    <col min="2" max="2" width="15.7109375" style="8" customWidth="1"/>
    <col min="3" max="3" width="15.7109375" style="49" customWidth="1"/>
    <col min="4" max="4" width="15.7109375" style="8" customWidth="1"/>
    <col min="5" max="5" width="15.7109375" style="3" customWidth="1"/>
    <col min="6" max="6" width="12" style="8" customWidth="1"/>
    <col min="7" max="16384" width="9.140625" style="8"/>
  </cols>
  <sheetData>
    <row r="1" spans="1:6" ht="41.25" customHeight="1" x14ac:dyDescent="0.2">
      <c r="A1" s="24" t="s">
        <v>0</v>
      </c>
      <c r="B1" s="285" t="s">
        <v>253</v>
      </c>
      <c r="C1" s="128" t="s">
        <v>123</v>
      </c>
      <c r="D1" s="285" t="s">
        <v>254</v>
      </c>
      <c r="E1" s="85" t="s">
        <v>256</v>
      </c>
      <c r="F1" s="91"/>
    </row>
    <row r="2" spans="1:6" ht="19.5" customHeight="1" x14ac:dyDescent="0.2">
      <c r="A2" s="24" t="s">
        <v>65</v>
      </c>
      <c r="B2" s="19">
        <f>'7'!E20</f>
        <v>901882</v>
      </c>
      <c r="C2" s="19">
        <f>'7'!H20</f>
        <v>923454</v>
      </c>
      <c r="D2" s="19">
        <f>'7'!K20</f>
        <v>976032</v>
      </c>
      <c r="E2" s="22">
        <f>D2/C2</f>
        <v>1.0569362415453287</v>
      </c>
      <c r="F2" s="73"/>
    </row>
    <row r="3" spans="1:6" ht="19.5" customHeight="1" x14ac:dyDescent="0.2">
      <c r="A3" s="24" t="s">
        <v>66</v>
      </c>
      <c r="B3" s="19">
        <f>'7'!E31</f>
        <v>45725</v>
      </c>
      <c r="C3" s="19">
        <f>'7'!H31</f>
        <v>45770</v>
      </c>
      <c r="D3" s="19">
        <f>'7'!K31</f>
        <v>48727</v>
      </c>
      <c r="E3" s="22">
        <f t="shared" ref="E3:E10" si="0">D3/C3</f>
        <v>1.0646056368800525</v>
      </c>
      <c r="F3" s="73"/>
    </row>
    <row r="4" spans="1:6" ht="19.5" customHeight="1" x14ac:dyDescent="0.2">
      <c r="A4" s="24" t="s">
        <v>67</v>
      </c>
      <c r="B4" s="19">
        <f>'7'!E41</f>
        <v>243507</v>
      </c>
      <c r="C4" s="19">
        <f>'7'!H41</f>
        <v>253636</v>
      </c>
      <c r="D4" s="19">
        <f>'7'!K41</f>
        <v>261434</v>
      </c>
      <c r="E4" s="22">
        <f t="shared" si="0"/>
        <v>1.0307448469460172</v>
      </c>
      <c r="F4" s="73"/>
    </row>
    <row r="5" spans="1:6" ht="19.5" customHeight="1" x14ac:dyDescent="0.2">
      <c r="A5" s="24" t="s">
        <v>68</v>
      </c>
      <c r="B5" s="19">
        <f>'8'!C8</f>
        <v>189131</v>
      </c>
      <c r="C5" s="19">
        <f>'8'!D8</f>
        <v>189000</v>
      </c>
      <c r="D5" s="19">
        <f>'8'!E8</f>
        <v>192686</v>
      </c>
      <c r="E5" s="22">
        <f t="shared" si="0"/>
        <v>1.0195026455026455</v>
      </c>
      <c r="F5" s="73"/>
    </row>
    <row r="6" spans="1:6" ht="19.5" customHeight="1" x14ac:dyDescent="0.2">
      <c r="A6" s="24" t="s">
        <v>69</v>
      </c>
      <c r="B6" s="19">
        <f>'9'!C21</f>
        <v>365194</v>
      </c>
      <c r="C6" s="19">
        <f>'9'!D21</f>
        <v>363240</v>
      </c>
      <c r="D6" s="19">
        <f>'9'!E21</f>
        <v>385052</v>
      </c>
      <c r="E6" s="22">
        <f t="shared" si="0"/>
        <v>1.0600484528135667</v>
      </c>
      <c r="F6" s="73"/>
    </row>
    <row r="7" spans="1:6" ht="19.5" customHeight="1" x14ac:dyDescent="0.2">
      <c r="A7" s="24" t="s">
        <v>70</v>
      </c>
      <c r="B7" s="19">
        <f>'9'!C22</f>
        <v>7094</v>
      </c>
      <c r="C7" s="19">
        <f>'9'!D22</f>
        <v>6000</v>
      </c>
      <c r="D7" s="19">
        <f>'9'!E22</f>
        <v>8266</v>
      </c>
      <c r="E7" s="22">
        <f t="shared" si="0"/>
        <v>1.3776666666666666</v>
      </c>
      <c r="F7" s="73"/>
    </row>
    <row r="8" spans="1:6" ht="19.5" customHeight="1" x14ac:dyDescent="0.2">
      <c r="A8" s="24" t="s">
        <v>71</v>
      </c>
      <c r="B8" s="19">
        <f>'10'!C6</f>
        <v>18580</v>
      </c>
      <c r="C8" s="19">
        <f>'10'!D6</f>
        <v>11900</v>
      </c>
      <c r="D8" s="19">
        <f>'10'!E6</f>
        <v>17722</v>
      </c>
      <c r="E8" s="22">
        <f t="shared" si="0"/>
        <v>1.4892436974789915</v>
      </c>
      <c r="F8" s="73"/>
    </row>
    <row r="9" spans="1:6" ht="19.5" customHeight="1" x14ac:dyDescent="0.2">
      <c r="A9" s="24" t="s">
        <v>72</v>
      </c>
      <c r="B9" s="70">
        <v>112301</v>
      </c>
      <c r="C9" s="19">
        <v>125000</v>
      </c>
      <c r="D9" s="70">
        <v>115469</v>
      </c>
      <c r="E9" s="22">
        <f t="shared" si="0"/>
        <v>0.92375200000000002</v>
      </c>
      <c r="F9" s="73"/>
    </row>
    <row r="10" spans="1:6" ht="19.5" customHeight="1" x14ac:dyDescent="0.2">
      <c r="A10" s="42" t="s">
        <v>73</v>
      </c>
      <c r="B10" s="11">
        <f>SUM(B2:B9)</f>
        <v>1883414</v>
      </c>
      <c r="C10" s="11">
        <f>SUM(C2:C9)</f>
        <v>1918000</v>
      </c>
      <c r="D10" s="11">
        <f>SUM(D2:D9)</f>
        <v>2005388</v>
      </c>
      <c r="E10" s="16">
        <f t="shared" si="0"/>
        <v>1.0455620437956203</v>
      </c>
      <c r="F10" s="74"/>
    </row>
    <row r="11" spans="1:6" ht="9" customHeight="1" x14ac:dyDescent="0.2">
      <c r="A11" s="69"/>
      <c r="F11" s="73"/>
    </row>
    <row r="12" spans="1:6" ht="19.5" customHeight="1" x14ac:dyDescent="0.2">
      <c r="A12" s="24" t="s">
        <v>74</v>
      </c>
      <c r="B12" s="70">
        <f>'5'!C3</f>
        <v>1460847</v>
      </c>
      <c r="C12" s="70">
        <f>'5'!F3</f>
        <v>1486500</v>
      </c>
      <c r="D12" s="70">
        <f>'5'!I3</f>
        <v>1559343</v>
      </c>
      <c r="E12" s="22">
        <f>D12/C12</f>
        <v>1.0490030272452069</v>
      </c>
      <c r="F12" s="75"/>
    </row>
    <row r="13" spans="1:6" ht="19.5" customHeight="1" x14ac:dyDescent="0.2">
      <c r="A13" s="71" t="s">
        <v>75</v>
      </c>
      <c r="B13" s="19">
        <f>'5'!C4</f>
        <v>724262</v>
      </c>
      <c r="C13" s="19">
        <f>'5'!F4</f>
        <v>745000</v>
      </c>
      <c r="D13" s="19">
        <f>'5'!I4</f>
        <v>761420</v>
      </c>
      <c r="E13" s="22">
        <f t="shared" ref="E13:E41" si="1">D13/C13</f>
        <v>1.0220402684563759</v>
      </c>
      <c r="F13" s="73"/>
    </row>
    <row r="14" spans="1:6" ht="19.5" customHeight="1" x14ac:dyDescent="0.2">
      <c r="A14" s="71" t="s">
        <v>94</v>
      </c>
      <c r="B14" s="19">
        <f>'5'!C5</f>
        <v>87085</v>
      </c>
      <c r="C14" s="19">
        <f>'5'!F5</f>
        <v>90000</v>
      </c>
      <c r="D14" s="19">
        <f>'5'!I5</f>
        <v>100766</v>
      </c>
      <c r="E14" s="22">
        <f t="shared" si="1"/>
        <v>1.1196222222222223</v>
      </c>
      <c r="F14" s="73"/>
    </row>
    <row r="15" spans="1:6" ht="19.5" customHeight="1" x14ac:dyDescent="0.2">
      <c r="A15" s="71" t="s">
        <v>76</v>
      </c>
      <c r="B15" s="19">
        <f>'5'!C7</f>
        <v>151303</v>
      </c>
      <c r="C15" s="19">
        <f>'5'!F7</f>
        <v>158000</v>
      </c>
      <c r="D15" s="19">
        <f>'5'!I7</f>
        <v>157626</v>
      </c>
      <c r="E15" s="22">
        <f t="shared" si="1"/>
        <v>0.99763291139240506</v>
      </c>
      <c r="F15" s="73"/>
    </row>
    <row r="16" spans="1:6" ht="19.5" customHeight="1" x14ac:dyDescent="0.2">
      <c r="A16" s="71" t="s">
        <v>77</v>
      </c>
      <c r="B16" s="19">
        <f>'5'!C8</f>
        <v>71586</v>
      </c>
      <c r="C16" s="19">
        <f>'5'!F8</f>
        <v>70000</v>
      </c>
      <c r="D16" s="19">
        <f>'5'!I8</f>
        <v>71579</v>
      </c>
      <c r="E16" s="22">
        <f t="shared" si="1"/>
        <v>1.0225571428571429</v>
      </c>
      <c r="F16" s="73"/>
    </row>
    <row r="17" spans="1:6" ht="19.5" customHeight="1" x14ac:dyDescent="0.2">
      <c r="A17" s="71" t="s">
        <v>78</v>
      </c>
      <c r="B17" s="19">
        <f>'5'!C9</f>
        <v>18056</v>
      </c>
      <c r="C17" s="19">
        <f>'5'!F9</f>
        <v>19000</v>
      </c>
      <c r="D17" s="19">
        <f>'5'!I9</f>
        <v>16819</v>
      </c>
      <c r="E17" s="22">
        <f t="shared" si="1"/>
        <v>0.88521052631578945</v>
      </c>
      <c r="F17" s="73"/>
    </row>
    <row r="18" spans="1:6" ht="19.5" customHeight="1" x14ac:dyDescent="0.2">
      <c r="A18" s="71" t="s">
        <v>106</v>
      </c>
      <c r="B18" s="19">
        <f>'5'!C10</f>
        <v>5223</v>
      </c>
      <c r="C18" s="19">
        <f>'5'!F10</f>
        <v>5500</v>
      </c>
      <c r="D18" s="19">
        <f>'5'!I10</f>
        <v>5734</v>
      </c>
      <c r="E18" s="22">
        <f t="shared" si="1"/>
        <v>1.0425454545454544</v>
      </c>
      <c r="F18" s="73"/>
    </row>
    <row r="19" spans="1:6" ht="19.5" customHeight="1" x14ac:dyDescent="0.2">
      <c r="A19" s="71" t="s">
        <v>129</v>
      </c>
      <c r="B19" s="19">
        <f>'5'!C11</f>
        <v>4590</v>
      </c>
      <c r="C19" s="19">
        <f>'5'!F11</f>
        <v>0</v>
      </c>
      <c r="D19" s="19">
        <f>'5'!I11</f>
        <v>7214</v>
      </c>
      <c r="E19" s="22"/>
      <c r="F19" s="73"/>
    </row>
    <row r="20" spans="1:6" ht="19.5" customHeight="1" x14ac:dyDescent="0.2">
      <c r="A20" s="71" t="s">
        <v>79</v>
      </c>
      <c r="B20" s="19">
        <f>'5'!C12</f>
        <v>9129</v>
      </c>
      <c r="C20" s="19">
        <f>'5'!F12</f>
        <v>10000</v>
      </c>
      <c r="D20" s="19">
        <f>'5'!I12</f>
        <v>7087</v>
      </c>
      <c r="E20" s="22">
        <f t="shared" si="1"/>
        <v>0.7087</v>
      </c>
      <c r="F20" s="73"/>
    </row>
    <row r="21" spans="1:6" ht="19.5" customHeight="1" x14ac:dyDescent="0.2">
      <c r="A21" s="71" t="s">
        <v>80</v>
      </c>
      <c r="B21" s="19">
        <f>'5'!C13</f>
        <v>195897</v>
      </c>
      <c r="C21" s="19">
        <f>'5'!F13</f>
        <v>193000</v>
      </c>
      <c r="D21" s="19">
        <f>'5'!I13</f>
        <v>220334</v>
      </c>
      <c r="E21" s="22">
        <f t="shared" si="1"/>
        <v>1.1416269430051813</v>
      </c>
      <c r="F21" s="73"/>
    </row>
    <row r="22" spans="1:6" ht="19.5" customHeight="1" x14ac:dyDescent="0.2">
      <c r="A22" s="71" t="s">
        <v>81</v>
      </c>
      <c r="B22" s="19">
        <f>'5'!C14</f>
        <v>36787</v>
      </c>
      <c r="C22" s="19">
        <f>'5'!F14</f>
        <v>36000</v>
      </c>
      <c r="D22" s="19">
        <f>'5'!I14</f>
        <v>38671</v>
      </c>
      <c r="E22" s="22">
        <f t="shared" si="1"/>
        <v>1.0741944444444445</v>
      </c>
      <c r="F22" s="73"/>
    </row>
    <row r="23" spans="1:6" ht="19.5" customHeight="1" x14ac:dyDescent="0.2">
      <c r="A23" s="72" t="s">
        <v>82</v>
      </c>
      <c r="B23" s="19">
        <f>'5'!D3</f>
        <v>30094</v>
      </c>
      <c r="C23" s="19">
        <f>'5'!G3</f>
        <v>41500</v>
      </c>
      <c r="D23" s="19">
        <f>'5'!J3</f>
        <v>38987</v>
      </c>
      <c r="E23" s="22">
        <f t="shared" si="1"/>
        <v>0.93944578313253013</v>
      </c>
      <c r="F23" s="73"/>
    </row>
    <row r="24" spans="1:6" ht="19.5" customHeight="1" x14ac:dyDescent="0.2">
      <c r="A24" s="71" t="s">
        <v>75</v>
      </c>
      <c r="B24" s="19">
        <f>'5'!D4</f>
        <v>5037</v>
      </c>
      <c r="C24" s="19">
        <f>'5'!G4</f>
        <v>8000</v>
      </c>
      <c r="D24" s="19">
        <f>'5'!J4</f>
        <v>5234</v>
      </c>
      <c r="E24" s="22">
        <f t="shared" si="1"/>
        <v>0.65425</v>
      </c>
      <c r="F24" s="73"/>
    </row>
    <row r="25" spans="1:6" ht="19.5" customHeight="1" x14ac:dyDescent="0.2">
      <c r="A25" s="71" t="s">
        <v>94</v>
      </c>
      <c r="B25" s="19">
        <f>'5'!D5</f>
        <v>1151</v>
      </c>
      <c r="C25" s="19">
        <f>'5'!G5</f>
        <v>1500</v>
      </c>
      <c r="D25" s="19">
        <f>'5'!J5</f>
        <v>1720</v>
      </c>
      <c r="E25" s="22">
        <f t="shared" si="1"/>
        <v>1.1466666666666667</v>
      </c>
      <c r="F25" s="73"/>
    </row>
    <row r="26" spans="1:6" ht="19.5" customHeight="1" x14ac:dyDescent="0.2">
      <c r="A26" s="71" t="s">
        <v>98</v>
      </c>
      <c r="B26" s="19">
        <f>'5'!D6</f>
        <v>25</v>
      </c>
      <c r="C26" s="19">
        <f>'5'!G6</f>
        <v>0</v>
      </c>
      <c r="D26" s="19">
        <f>'5'!J6</f>
        <v>43</v>
      </c>
      <c r="E26" s="22"/>
      <c r="F26" s="73"/>
    </row>
    <row r="27" spans="1:6" ht="19.5" customHeight="1" x14ac:dyDescent="0.2">
      <c r="A27" s="71" t="s">
        <v>76</v>
      </c>
      <c r="B27" s="19">
        <f>'5'!D7</f>
        <v>528</v>
      </c>
      <c r="C27" s="19">
        <f>'5'!G7</f>
        <v>2000</v>
      </c>
      <c r="D27" s="19">
        <f>'5'!J7</f>
        <v>509</v>
      </c>
      <c r="E27" s="22">
        <f t="shared" si="1"/>
        <v>0.2545</v>
      </c>
      <c r="F27" s="73"/>
    </row>
    <row r="28" spans="1:6" ht="19.5" customHeight="1" x14ac:dyDescent="0.2">
      <c r="A28" s="71" t="s">
        <v>78</v>
      </c>
      <c r="B28" s="19">
        <f>'5'!D9</f>
        <v>3</v>
      </c>
      <c r="C28" s="19"/>
      <c r="D28" s="19"/>
      <c r="E28" s="22"/>
      <c r="F28" s="73"/>
    </row>
    <row r="29" spans="1:6" ht="19.5" customHeight="1" x14ac:dyDescent="0.2">
      <c r="A29" s="71" t="s">
        <v>83</v>
      </c>
      <c r="B29" s="19">
        <f>'5'!D15</f>
        <v>15762</v>
      </c>
      <c r="C29" s="19">
        <f>'5'!G15</f>
        <v>19000</v>
      </c>
      <c r="D29" s="19">
        <f>'5'!J15</f>
        <v>17600</v>
      </c>
      <c r="E29" s="22">
        <f t="shared" si="1"/>
        <v>0.9263157894736842</v>
      </c>
      <c r="F29" s="73"/>
    </row>
    <row r="30" spans="1:6" ht="19.5" customHeight="1" x14ac:dyDescent="0.2">
      <c r="A30" s="71" t="s">
        <v>90</v>
      </c>
      <c r="B30" s="19">
        <f>'5'!D16</f>
        <v>7588</v>
      </c>
      <c r="C30" s="19">
        <f>'5'!G16</f>
        <v>11000</v>
      </c>
      <c r="D30" s="19">
        <f>'5'!J16</f>
        <v>13881</v>
      </c>
      <c r="E30" s="22">
        <f t="shared" si="1"/>
        <v>1.2619090909090909</v>
      </c>
      <c r="F30" s="73"/>
    </row>
    <row r="31" spans="1:6" ht="19.5" customHeight="1" x14ac:dyDescent="0.2">
      <c r="A31" s="24" t="s">
        <v>84</v>
      </c>
      <c r="B31" s="19">
        <f>SUM(B23,B12)</f>
        <v>1490941</v>
      </c>
      <c r="C31" s="19">
        <f>SUM(C23,C12)</f>
        <v>1528000</v>
      </c>
      <c r="D31" s="19">
        <f>SUM(D23,D12)</f>
        <v>1598330</v>
      </c>
      <c r="E31" s="22">
        <f t="shared" si="1"/>
        <v>1.0460274869109947</v>
      </c>
      <c r="F31" s="73"/>
    </row>
    <row r="32" spans="1:6" ht="19.5" customHeight="1" x14ac:dyDescent="0.2">
      <c r="A32" s="25" t="s">
        <v>99</v>
      </c>
      <c r="B32" s="19">
        <f>'5'!C17</f>
        <v>20228</v>
      </c>
      <c r="C32" s="19">
        <f>'5'!H17</f>
        <v>20000</v>
      </c>
      <c r="D32" s="19">
        <f>'5'!I17</f>
        <v>20308</v>
      </c>
      <c r="E32" s="22">
        <f t="shared" si="1"/>
        <v>1.0154000000000001</v>
      </c>
      <c r="F32" s="73"/>
    </row>
    <row r="33" spans="1:6" ht="19.5" customHeight="1" x14ac:dyDescent="0.2">
      <c r="A33" s="25" t="s">
        <v>128</v>
      </c>
      <c r="B33" s="19">
        <f>'5'!C18</f>
        <v>136701</v>
      </c>
      <c r="C33" s="19">
        <f>'5'!F18</f>
        <v>140000</v>
      </c>
      <c r="D33" s="19">
        <f>'5'!I18</f>
        <v>151785</v>
      </c>
      <c r="E33" s="22">
        <f t="shared" si="1"/>
        <v>1.0841785714285714</v>
      </c>
      <c r="F33" s="73"/>
    </row>
    <row r="34" spans="1:6" ht="19.5" customHeight="1" x14ac:dyDescent="0.2">
      <c r="A34" s="24" t="s">
        <v>85</v>
      </c>
      <c r="B34" s="19">
        <f>'5'!D19</f>
        <v>102889</v>
      </c>
      <c r="C34" s="19">
        <f>'5'!H19</f>
        <v>34138</v>
      </c>
      <c r="D34" s="19">
        <f>'5'!J19</f>
        <v>30527</v>
      </c>
      <c r="E34" s="22">
        <f t="shared" si="1"/>
        <v>0.89422344601324033</v>
      </c>
      <c r="F34" s="73"/>
    </row>
    <row r="35" spans="1:6" ht="19.5" customHeight="1" x14ac:dyDescent="0.2">
      <c r="A35" s="24" t="s">
        <v>124</v>
      </c>
      <c r="B35" s="19"/>
      <c r="C35" s="19">
        <f>'5'!H20</f>
        <v>60885</v>
      </c>
      <c r="D35" s="19">
        <f>'5'!J20</f>
        <v>60821</v>
      </c>
      <c r="E35" s="22">
        <f t="shared" ref="E35" si="2">D35/C35</f>
        <v>0.9989488379732282</v>
      </c>
      <c r="F35" s="73"/>
    </row>
    <row r="36" spans="1:6" ht="19.5" customHeight="1" x14ac:dyDescent="0.2">
      <c r="A36" s="25" t="s">
        <v>131</v>
      </c>
      <c r="B36" s="19"/>
      <c r="C36" s="19">
        <f>'5'!H21</f>
        <v>15977</v>
      </c>
      <c r="D36" s="19">
        <f>'5'!J21</f>
        <v>15392</v>
      </c>
      <c r="E36" s="22">
        <f t="shared" ref="E36" si="3">D36/C36</f>
        <v>0.96338486574450777</v>
      </c>
      <c r="F36" s="73"/>
    </row>
    <row r="37" spans="1:6" ht="19.5" customHeight="1" x14ac:dyDescent="0.2">
      <c r="A37" s="24" t="s">
        <v>86</v>
      </c>
      <c r="B37" s="19">
        <f>'5'!D22</f>
        <v>12821</v>
      </c>
      <c r="C37" s="19">
        <f>'5'!H22</f>
        <v>13000</v>
      </c>
      <c r="D37" s="19">
        <f>'5'!J22</f>
        <v>12417</v>
      </c>
      <c r="E37" s="22">
        <f t="shared" si="1"/>
        <v>0.95515384615384613</v>
      </c>
      <c r="F37" s="73"/>
    </row>
    <row r="38" spans="1:6" ht="19.5" customHeight="1" x14ac:dyDescent="0.2">
      <c r="A38" s="24" t="s">
        <v>87</v>
      </c>
      <c r="B38" s="19">
        <f>'5'!D23</f>
        <v>4726</v>
      </c>
      <c r="C38" s="19">
        <f>'5'!H23</f>
        <v>1000</v>
      </c>
      <c r="D38" s="19">
        <f>'5'!J23</f>
        <v>1548</v>
      </c>
      <c r="E38" s="22">
        <f t="shared" si="1"/>
        <v>1.548</v>
      </c>
      <c r="F38" s="73"/>
    </row>
    <row r="39" spans="1:6" ht="19.5" customHeight="1" x14ac:dyDescent="0.2">
      <c r="A39" s="24" t="s">
        <v>16</v>
      </c>
      <c r="B39" s="19">
        <f>'5'!E25</f>
        <v>164000</v>
      </c>
      <c r="C39" s="19">
        <f>'5'!H25</f>
        <v>140000</v>
      </c>
      <c r="D39" s="19">
        <f>'5'!K25</f>
        <v>158556</v>
      </c>
      <c r="E39" s="22">
        <f t="shared" si="1"/>
        <v>1.1325428571428571</v>
      </c>
      <c r="F39" s="73"/>
    </row>
    <row r="40" spans="1:6" ht="19.5" customHeight="1" x14ac:dyDescent="0.2">
      <c r="A40" s="24" t="s">
        <v>132</v>
      </c>
      <c r="B40" s="19">
        <f>'5'!E26</f>
        <v>92549</v>
      </c>
      <c r="C40" s="19">
        <f>'5'!H26</f>
        <v>90000</v>
      </c>
      <c r="D40" s="19">
        <f>'5'!K26</f>
        <v>97117</v>
      </c>
      <c r="E40" s="22">
        <f t="shared" si="1"/>
        <v>1.0790777777777778</v>
      </c>
      <c r="F40" s="73"/>
    </row>
    <row r="41" spans="1:6" ht="19.5" customHeight="1" x14ac:dyDescent="0.2">
      <c r="A41" s="42" t="s">
        <v>17</v>
      </c>
      <c r="B41" s="11">
        <f>SUM(B31:B40)-B32-B33</f>
        <v>1867926</v>
      </c>
      <c r="C41" s="11">
        <f>SUM(C31:C40)-C32-C33</f>
        <v>1883000</v>
      </c>
      <c r="D41" s="11">
        <f>SUM(D31:D40)-D32-D33</f>
        <v>1974708</v>
      </c>
      <c r="E41" s="16">
        <f t="shared" si="1"/>
        <v>1.0487031332979289</v>
      </c>
      <c r="F41" s="74"/>
    </row>
    <row r="42" spans="1:6" ht="9" customHeight="1" x14ac:dyDescent="0.2">
      <c r="A42" s="69"/>
      <c r="B42" s="49"/>
      <c r="D42" s="49"/>
    </row>
    <row r="43" spans="1:6" ht="19.5" customHeight="1" x14ac:dyDescent="0.2">
      <c r="A43" s="42" t="s">
        <v>88</v>
      </c>
      <c r="B43" s="105">
        <f>B41-B10</f>
        <v>-15488</v>
      </c>
      <c r="C43" s="11">
        <f>C41-C10</f>
        <v>-35000</v>
      </c>
      <c r="D43" s="105">
        <f>D41-D10</f>
        <v>-30680</v>
      </c>
      <c r="E43" s="81"/>
    </row>
  </sheetData>
  <phoneticPr fontId="0" type="noConversion"/>
  <conditionalFormatting sqref="A1:XFD1048576">
    <cfRule type="cellIs" dxfId="6" priority="8" stopIfTrue="1" operator="equal">
      <formula>0</formula>
    </cfRule>
  </conditionalFormatting>
  <conditionalFormatting sqref="D43 B43">
    <cfRule type="cellIs" dxfId="5" priority="4" operator="lessThan">
      <formula>0</formula>
    </cfRule>
  </conditionalFormatting>
  <printOptions horizontalCentered="1"/>
  <pageMargins left="0.39370078740157483" right="0.39370078740157483" top="0.78740157480314965" bottom="0.51181102362204722" header="0.31496062992125984" footer="0.31496062992125984"/>
  <pageSetup paperSize="9" scale="91" orientation="portrait" r:id="rId1"/>
  <headerFooter alignWithMargins="0">
    <oddHeader>&amp;CXIII. Kerületi Egészségügyi Szolgálat Nonprofit Kft.
2016. évi költségei és bevételei</oddHeader>
    <oddFooter>&amp;L&amp;D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9"/>
  <sheetViews>
    <sheetView workbookViewId="0">
      <selection activeCell="D2" sqref="D2"/>
    </sheetView>
  </sheetViews>
  <sheetFormatPr defaultRowHeight="12.75" x14ac:dyDescent="0.2"/>
  <cols>
    <col min="1" max="1" width="14" customWidth="1"/>
    <col min="2" max="2" width="23.5703125" bestFit="1" customWidth="1"/>
    <col min="3" max="3" width="40" customWidth="1"/>
    <col min="4" max="4" width="11" customWidth="1"/>
    <col min="5" max="5" width="11.7109375" style="488" customWidth="1"/>
  </cols>
  <sheetData>
    <row r="1" spans="1:5" x14ac:dyDescent="0.2">
      <c r="D1" t="s">
        <v>693</v>
      </c>
    </row>
    <row r="2" spans="1:5" ht="13.5" thickBot="1" x14ac:dyDescent="0.25"/>
    <row r="3" spans="1:5" ht="13.5" thickBot="1" x14ac:dyDescent="0.25">
      <c r="A3" s="654" t="s">
        <v>556</v>
      </c>
      <c r="B3" s="655"/>
      <c r="C3" s="655"/>
      <c r="D3" s="656"/>
    </row>
    <row r="4" spans="1:5" x14ac:dyDescent="0.2">
      <c r="A4" s="489"/>
      <c r="B4" s="490"/>
      <c r="C4" s="491" t="s">
        <v>0</v>
      </c>
      <c r="D4" s="492" t="s">
        <v>557</v>
      </c>
    </row>
    <row r="5" spans="1:5" x14ac:dyDescent="0.2">
      <c r="A5" s="493"/>
      <c r="B5" s="494" t="s">
        <v>558</v>
      </c>
      <c r="C5" s="495"/>
      <c r="D5" s="496"/>
    </row>
    <row r="6" spans="1:5" x14ac:dyDescent="0.2">
      <c r="A6" s="497" t="s">
        <v>559</v>
      </c>
      <c r="B6" s="494"/>
      <c r="C6" s="495"/>
      <c r="D6" s="498"/>
    </row>
    <row r="7" spans="1:5" x14ac:dyDescent="0.2">
      <c r="A7" s="497"/>
      <c r="B7" s="494"/>
      <c r="C7" s="495" t="s">
        <v>560</v>
      </c>
      <c r="D7" s="498">
        <v>349250</v>
      </c>
    </row>
    <row r="8" spans="1:5" x14ac:dyDescent="0.2">
      <c r="A8" s="497"/>
      <c r="B8" s="494"/>
      <c r="C8" s="495" t="s">
        <v>561</v>
      </c>
      <c r="D8" s="498">
        <v>190500</v>
      </c>
    </row>
    <row r="9" spans="1:5" x14ac:dyDescent="0.2">
      <c r="A9" s="497"/>
      <c r="B9" s="494"/>
      <c r="C9" s="495" t="s">
        <v>562</v>
      </c>
      <c r="D9" s="498">
        <v>1214323</v>
      </c>
    </row>
    <row r="10" spans="1:5" x14ac:dyDescent="0.2">
      <c r="A10" s="497"/>
      <c r="B10" s="494"/>
      <c r="C10" s="499"/>
      <c r="D10" s="498"/>
      <c r="E10" s="500">
        <v>1754073</v>
      </c>
    </row>
    <row r="11" spans="1:5" x14ac:dyDescent="0.2">
      <c r="A11" s="497"/>
      <c r="B11" s="494"/>
      <c r="C11" s="495"/>
      <c r="D11" s="498"/>
      <c r="E11" s="500"/>
    </row>
    <row r="12" spans="1:5" x14ac:dyDescent="0.2">
      <c r="A12" s="497" t="s">
        <v>563</v>
      </c>
      <c r="B12" s="495"/>
      <c r="C12" s="495"/>
      <c r="D12" s="498"/>
      <c r="E12" s="500"/>
    </row>
    <row r="13" spans="1:5" x14ac:dyDescent="0.2">
      <c r="A13" s="497"/>
      <c r="B13" s="495" t="s">
        <v>564</v>
      </c>
      <c r="C13" s="495" t="s">
        <v>565</v>
      </c>
      <c r="D13" s="498">
        <v>253873</v>
      </c>
      <c r="E13" s="500"/>
    </row>
    <row r="14" spans="1:5" x14ac:dyDescent="0.2">
      <c r="A14" s="497"/>
      <c r="B14" s="495" t="s">
        <v>689</v>
      </c>
      <c r="C14" s="495" t="s">
        <v>566</v>
      </c>
      <c r="D14" s="498">
        <v>2431415</v>
      </c>
      <c r="E14" s="500"/>
    </row>
    <row r="15" spans="1:5" x14ac:dyDescent="0.2">
      <c r="A15" s="497"/>
      <c r="B15" s="495" t="s">
        <v>567</v>
      </c>
      <c r="C15" s="501" t="s">
        <v>568</v>
      </c>
      <c r="D15" s="502">
        <v>186690</v>
      </c>
      <c r="E15" s="500"/>
    </row>
    <row r="16" spans="1:5" x14ac:dyDescent="0.2">
      <c r="A16" s="497"/>
      <c r="B16" s="495"/>
      <c r="C16" s="501" t="s">
        <v>569</v>
      </c>
      <c r="D16" s="502">
        <v>152044</v>
      </c>
      <c r="E16" s="500"/>
    </row>
    <row r="17" spans="1:5" x14ac:dyDescent="0.2">
      <c r="A17" s="497"/>
      <c r="B17" s="495"/>
      <c r="C17" s="501" t="s">
        <v>570</v>
      </c>
      <c r="D17" s="502">
        <v>2798694</v>
      </c>
      <c r="E17" s="500"/>
    </row>
    <row r="18" spans="1:5" x14ac:dyDescent="0.2">
      <c r="A18" s="497"/>
      <c r="B18" s="495"/>
      <c r="C18" s="501" t="s">
        <v>571</v>
      </c>
      <c r="D18" s="502">
        <v>7390130</v>
      </c>
      <c r="E18" s="500"/>
    </row>
    <row r="19" spans="1:5" x14ac:dyDescent="0.2">
      <c r="A19" s="497"/>
      <c r="B19" s="495"/>
      <c r="C19" s="501" t="s">
        <v>572</v>
      </c>
      <c r="D19" s="502">
        <v>3905250</v>
      </c>
      <c r="E19" s="500"/>
    </row>
    <row r="20" spans="1:5" x14ac:dyDescent="0.2">
      <c r="A20" s="497"/>
      <c r="B20" s="495"/>
      <c r="C20" s="501" t="s">
        <v>573</v>
      </c>
      <c r="D20" s="502">
        <v>7448550</v>
      </c>
      <c r="E20" s="500"/>
    </row>
    <row r="21" spans="1:5" x14ac:dyDescent="0.2">
      <c r="A21" s="497"/>
      <c r="B21" s="495" t="s">
        <v>574</v>
      </c>
      <c r="C21" s="501" t="s">
        <v>575</v>
      </c>
      <c r="D21" s="502">
        <v>594360</v>
      </c>
      <c r="E21" s="500"/>
    </row>
    <row r="22" spans="1:5" x14ac:dyDescent="0.2">
      <c r="A22" s="497"/>
      <c r="B22" s="495" t="s">
        <v>576</v>
      </c>
      <c r="C22" s="495" t="s">
        <v>577</v>
      </c>
      <c r="D22" s="498">
        <v>165100</v>
      </c>
      <c r="E22" s="500"/>
    </row>
    <row r="23" spans="1:5" x14ac:dyDescent="0.2">
      <c r="A23" s="497"/>
      <c r="B23" s="495"/>
      <c r="C23" s="495" t="s">
        <v>578</v>
      </c>
      <c r="D23" s="498">
        <v>224028</v>
      </c>
      <c r="E23" s="500"/>
    </row>
    <row r="24" spans="1:5" x14ac:dyDescent="0.2">
      <c r="A24" s="497"/>
      <c r="B24" s="495"/>
      <c r="C24" s="495" t="s">
        <v>579</v>
      </c>
      <c r="D24" s="498">
        <v>233680</v>
      </c>
      <c r="E24" s="500"/>
    </row>
    <row r="25" spans="1:5" x14ac:dyDescent="0.2">
      <c r="A25" s="497"/>
      <c r="B25" s="495"/>
      <c r="C25" s="495" t="s">
        <v>580</v>
      </c>
      <c r="D25" s="498">
        <v>260350</v>
      </c>
      <c r="E25" s="500"/>
    </row>
    <row r="26" spans="1:5" x14ac:dyDescent="0.2">
      <c r="A26" s="497"/>
      <c r="B26" s="495" t="s">
        <v>581</v>
      </c>
      <c r="C26" s="495" t="s">
        <v>582</v>
      </c>
      <c r="D26" s="498">
        <v>162560</v>
      </c>
      <c r="E26" s="500"/>
    </row>
    <row r="27" spans="1:5" x14ac:dyDescent="0.2">
      <c r="A27" s="497"/>
      <c r="B27" s="495"/>
      <c r="C27" s="495" t="s">
        <v>583</v>
      </c>
      <c r="D27" s="498">
        <v>7783830</v>
      </c>
      <c r="E27" s="500"/>
    </row>
    <row r="28" spans="1:5" x14ac:dyDescent="0.2">
      <c r="A28" s="497"/>
      <c r="B28" s="495"/>
      <c r="C28" s="495" t="s">
        <v>584</v>
      </c>
      <c r="D28" s="498">
        <v>15868650</v>
      </c>
      <c r="E28" s="500"/>
    </row>
    <row r="29" spans="1:5" x14ac:dyDescent="0.2">
      <c r="A29" s="503"/>
      <c r="B29" s="495" t="s">
        <v>585</v>
      </c>
      <c r="C29" s="495" t="s">
        <v>578</v>
      </c>
      <c r="D29" s="498">
        <v>224028</v>
      </c>
      <c r="E29" s="500"/>
    </row>
    <row r="30" spans="1:5" x14ac:dyDescent="0.2">
      <c r="A30" s="497"/>
      <c r="B30" s="495"/>
      <c r="C30" s="495" t="s">
        <v>586</v>
      </c>
      <c r="D30" s="498">
        <v>4914392</v>
      </c>
      <c r="E30" s="500"/>
    </row>
    <row r="31" spans="1:5" x14ac:dyDescent="0.2">
      <c r="A31" s="504"/>
      <c r="B31" s="505"/>
      <c r="C31" s="505" t="s">
        <v>580</v>
      </c>
      <c r="D31" s="506">
        <v>260350</v>
      </c>
      <c r="E31" s="500"/>
    </row>
    <row r="32" spans="1:5" x14ac:dyDescent="0.2">
      <c r="A32" s="504"/>
      <c r="B32" s="505" t="s">
        <v>587</v>
      </c>
      <c r="C32" s="505" t="s">
        <v>588</v>
      </c>
      <c r="D32" s="506">
        <v>2052320</v>
      </c>
      <c r="E32" s="500"/>
    </row>
    <row r="33" spans="1:5" x14ac:dyDescent="0.2">
      <c r="A33" s="504"/>
      <c r="B33" s="505"/>
      <c r="C33" s="505" t="s">
        <v>589</v>
      </c>
      <c r="D33" s="506">
        <v>116840</v>
      </c>
      <c r="E33" s="500"/>
    </row>
    <row r="34" spans="1:5" x14ac:dyDescent="0.2">
      <c r="A34" s="504"/>
      <c r="B34" s="505"/>
      <c r="C34" s="505" t="s">
        <v>590</v>
      </c>
      <c r="D34" s="506">
        <v>1894248</v>
      </c>
      <c r="E34" s="500"/>
    </row>
    <row r="35" spans="1:5" x14ac:dyDescent="0.2">
      <c r="A35" s="507"/>
      <c r="B35" s="505" t="s">
        <v>591</v>
      </c>
      <c r="C35" s="505" t="s">
        <v>565</v>
      </c>
      <c r="D35" s="506">
        <v>253873</v>
      </c>
      <c r="E35" s="500"/>
    </row>
    <row r="36" spans="1:5" x14ac:dyDescent="0.2">
      <c r="A36" s="507"/>
      <c r="B36" s="505" t="s">
        <v>592</v>
      </c>
      <c r="C36" s="505" t="s">
        <v>593</v>
      </c>
      <c r="D36" s="506">
        <v>1195070</v>
      </c>
      <c r="E36" s="500"/>
    </row>
    <row r="37" spans="1:5" x14ac:dyDescent="0.2">
      <c r="A37" s="507"/>
      <c r="B37" s="505"/>
      <c r="C37" s="505" t="s">
        <v>594</v>
      </c>
      <c r="D37" s="506">
        <v>105410</v>
      </c>
      <c r="E37" s="500"/>
    </row>
    <row r="38" spans="1:5" x14ac:dyDescent="0.2">
      <c r="A38" s="507"/>
      <c r="B38" s="505"/>
      <c r="C38" s="505" t="s">
        <v>595</v>
      </c>
      <c r="D38" s="506">
        <v>55626</v>
      </c>
      <c r="E38" s="500"/>
    </row>
    <row r="39" spans="1:5" x14ac:dyDescent="0.2">
      <c r="A39" s="507"/>
      <c r="B39" s="505"/>
      <c r="C39" s="505" t="s">
        <v>596</v>
      </c>
      <c r="D39" s="506">
        <v>1501140</v>
      </c>
      <c r="E39" s="500"/>
    </row>
    <row r="40" spans="1:5" x14ac:dyDescent="0.2">
      <c r="A40" s="507"/>
      <c r="B40" s="505"/>
      <c r="C40" s="505" t="s">
        <v>588</v>
      </c>
      <c r="D40" s="506">
        <v>2052320</v>
      </c>
      <c r="E40" s="500"/>
    </row>
    <row r="41" spans="1:5" x14ac:dyDescent="0.2">
      <c r="A41" s="507"/>
      <c r="B41" s="505"/>
      <c r="C41" s="505" t="s">
        <v>589</v>
      </c>
      <c r="D41" s="506">
        <v>116840</v>
      </c>
      <c r="E41" s="500"/>
    </row>
    <row r="42" spans="1:5" x14ac:dyDescent="0.2">
      <c r="A42" s="507"/>
      <c r="B42" s="505" t="s">
        <v>597</v>
      </c>
      <c r="C42" s="505" t="s">
        <v>598</v>
      </c>
      <c r="D42" s="506">
        <v>1178632</v>
      </c>
      <c r="E42" s="500"/>
    </row>
    <row r="43" spans="1:5" x14ac:dyDescent="0.2">
      <c r="A43" s="507"/>
      <c r="B43" s="505"/>
      <c r="C43" s="505" t="s">
        <v>599</v>
      </c>
      <c r="D43" s="506">
        <v>756920</v>
      </c>
      <c r="E43" s="500"/>
    </row>
    <row r="44" spans="1:5" x14ac:dyDescent="0.2">
      <c r="A44" s="507"/>
      <c r="B44" s="505"/>
      <c r="C44" s="505" t="s">
        <v>600</v>
      </c>
      <c r="D44" s="506">
        <v>457789</v>
      </c>
      <c r="E44" s="500"/>
    </row>
    <row r="45" spans="1:5" x14ac:dyDescent="0.2">
      <c r="A45" s="507"/>
      <c r="B45" s="505" t="s">
        <v>601</v>
      </c>
      <c r="C45" s="505" t="s">
        <v>602</v>
      </c>
      <c r="D45" s="506">
        <v>2081967</v>
      </c>
      <c r="E45" s="500"/>
    </row>
    <row r="46" spans="1:5" x14ac:dyDescent="0.2">
      <c r="A46" s="507"/>
      <c r="B46" s="505" t="s">
        <v>603</v>
      </c>
      <c r="C46" s="505" t="s">
        <v>580</v>
      </c>
      <c r="D46" s="506">
        <v>260350</v>
      </c>
      <c r="E46" s="500"/>
    </row>
    <row r="47" spans="1:5" x14ac:dyDescent="0.2">
      <c r="A47" s="507"/>
      <c r="B47" s="505" t="s">
        <v>604</v>
      </c>
      <c r="C47" s="505" t="s">
        <v>580</v>
      </c>
      <c r="D47" s="506">
        <v>260350</v>
      </c>
      <c r="E47" s="500"/>
    </row>
    <row r="48" spans="1:5" x14ac:dyDescent="0.2">
      <c r="A48" s="507"/>
      <c r="B48" s="505"/>
      <c r="C48" s="505"/>
      <c r="D48" s="506"/>
      <c r="E48" s="500">
        <f>SUM(D13:D47)</f>
        <v>69597669</v>
      </c>
    </row>
    <row r="49" spans="1:5" x14ac:dyDescent="0.2">
      <c r="A49" s="507"/>
      <c r="B49" s="505"/>
      <c r="C49" s="505"/>
      <c r="D49" s="506"/>
      <c r="E49" s="500"/>
    </row>
    <row r="50" spans="1:5" x14ac:dyDescent="0.2">
      <c r="A50" s="504" t="s">
        <v>605</v>
      </c>
      <c r="B50" s="505"/>
      <c r="C50" s="505"/>
      <c r="D50" s="506"/>
      <c r="E50" s="500"/>
    </row>
    <row r="51" spans="1:5" x14ac:dyDescent="0.2">
      <c r="A51" s="504"/>
      <c r="B51" s="505"/>
      <c r="C51" s="505" t="s">
        <v>606</v>
      </c>
      <c r="D51" s="506">
        <v>1725016</v>
      </c>
      <c r="E51" s="500"/>
    </row>
    <row r="52" spans="1:5" x14ac:dyDescent="0.2">
      <c r="A52" s="504"/>
      <c r="B52" s="505"/>
      <c r="C52" s="505" t="s">
        <v>607</v>
      </c>
      <c r="D52" s="506">
        <v>1247140</v>
      </c>
      <c r="E52" s="500"/>
    </row>
    <row r="53" spans="1:5" x14ac:dyDescent="0.2">
      <c r="A53" s="504"/>
      <c r="B53" s="505" t="s">
        <v>608</v>
      </c>
      <c r="C53" s="505" t="s">
        <v>609</v>
      </c>
      <c r="D53" s="506">
        <v>89154</v>
      </c>
      <c r="E53" s="500"/>
    </row>
    <row r="54" spans="1:5" x14ac:dyDescent="0.2">
      <c r="A54" s="504"/>
      <c r="B54" s="505" t="s">
        <v>610</v>
      </c>
      <c r="C54" s="505" t="s">
        <v>611</v>
      </c>
      <c r="D54" s="506">
        <v>1830134</v>
      </c>
      <c r="E54" s="500"/>
    </row>
    <row r="55" spans="1:5" x14ac:dyDescent="0.2">
      <c r="A55" s="504"/>
      <c r="B55" s="505"/>
      <c r="C55" s="505"/>
      <c r="D55" s="506"/>
      <c r="E55" s="500">
        <f>SUM(D51:D54)</f>
        <v>4891444</v>
      </c>
    </row>
    <row r="56" spans="1:5" x14ac:dyDescent="0.2">
      <c r="A56" s="504"/>
      <c r="B56" s="505"/>
      <c r="C56" s="505"/>
      <c r="D56" s="506"/>
      <c r="E56" s="500"/>
    </row>
    <row r="57" spans="1:5" x14ac:dyDescent="0.2">
      <c r="A57" s="508"/>
      <c r="B57" s="505"/>
      <c r="C57" s="509" t="s">
        <v>612</v>
      </c>
      <c r="D57" s="510">
        <f>SUM(D6:D56)</f>
        <v>76243186</v>
      </c>
      <c r="E57" s="500"/>
    </row>
    <row r="58" spans="1:5" x14ac:dyDescent="0.2">
      <c r="A58" s="511"/>
      <c r="B58" s="511"/>
      <c r="C58" s="511"/>
      <c r="D58" s="512"/>
      <c r="E58" s="513"/>
    </row>
    <row r="59" spans="1:5" x14ac:dyDescent="0.2">
      <c r="A59" s="514"/>
      <c r="B59" s="514"/>
      <c r="C59" s="514"/>
      <c r="D59" s="515"/>
      <c r="E59" s="513"/>
    </row>
    <row r="60" spans="1:5" x14ac:dyDescent="0.2">
      <c r="A60" s="514"/>
      <c r="B60" s="514"/>
      <c r="C60" s="514"/>
      <c r="D60" s="515"/>
      <c r="E60" s="513"/>
    </row>
    <row r="61" spans="1:5" x14ac:dyDescent="0.2">
      <c r="A61" s="514"/>
      <c r="B61" s="514"/>
      <c r="C61" s="514"/>
      <c r="D61" s="515"/>
      <c r="E61" s="513"/>
    </row>
    <row r="62" spans="1:5" x14ac:dyDescent="0.2">
      <c r="A62" s="514"/>
      <c r="B62" s="514"/>
      <c r="C62" s="514"/>
      <c r="D62" s="515"/>
      <c r="E62" s="513"/>
    </row>
    <row r="63" spans="1:5" x14ac:dyDescent="0.2">
      <c r="A63" s="514"/>
      <c r="B63" s="514"/>
      <c r="C63" s="514"/>
      <c r="D63" s="515"/>
      <c r="E63" s="513"/>
    </row>
    <row r="64" spans="1:5" x14ac:dyDescent="0.2">
      <c r="A64" s="514"/>
      <c r="B64" s="514"/>
      <c r="C64" s="514"/>
      <c r="D64" s="515"/>
      <c r="E64" s="513"/>
    </row>
    <row r="65" spans="1:5" ht="12" customHeight="1" thickBot="1" x14ac:dyDescent="0.25">
      <c r="A65" s="516"/>
      <c r="B65" s="516"/>
      <c r="C65" s="516"/>
      <c r="D65" s="517"/>
      <c r="E65" s="513"/>
    </row>
    <row r="66" spans="1:5" x14ac:dyDescent="0.2">
      <c r="A66" s="518"/>
      <c r="B66" s="519" t="s">
        <v>613</v>
      </c>
      <c r="C66" s="520"/>
      <c r="D66" s="521"/>
      <c r="E66" s="500"/>
    </row>
    <row r="67" spans="1:5" x14ac:dyDescent="0.2">
      <c r="A67" s="494"/>
      <c r="B67" s="494"/>
      <c r="C67" s="495"/>
      <c r="D67" s="522"/>
      <c r="E67" s="500"/>
    </row>
    <row r="68" spans="1:5" x14ac:dyDescent="0.2">
      <c r="A68" s="494" t="s">
        <v>559</v>
      </c>
      <c r="B68" s="499" t="s">
        <v>614</v>
      </c>
      <c r="C68" s="495" t="s">
        <v>615</v>
      </c>
      <c r="D68" s="522">
        <v>158750</v>
      </c>
      <c r="E68" s="500">
        <v>158750</v>
      </c>
    </row>
    <row r="69" spans="1:5" x14ac:dyDescent="0.2">
      <c r="A69" s="494"/>
      <c r="B69" s="494"/>
      <c r="C69" s="495"/>
      <c r="D69" s="522"/>
      <c r="E69" s="500"/>
    </row>
    <row r="70" spans="1:5" x14ac:dyDescent="0.2">
      <c r="A70" s="508"/>
      <c r="B70" s="505"/>
      <c r="C70" s="505"/>
      <c r="D70" s="506"/>
      <c r="E70" s="500"/>
    </row>
    <row r="71" spans="1:5" x14ac:dyDescent="0.2">
      <c r="A71" s="504" t="s">
        <v>616</v>
      </c>
      <c r="B71" s="505" t="s">
        <v>617</v>
      </c>
      <c r="C71" s="505" t="s">
        <v>618</v>
      </c>
      <c r="D71" s="506">
        <v>141200</v>
      </c>
      <c r="E71" s="500">
        <v>141200</v>
      </c>
    </row>
    <row r="72" spans="1:5" x14ac:dyDescent="0.2">
      <c r="A72" s="508"/>
      <c r="B72" s="505"/>
      <c r="C72" s="505"/>
      <c r="D72" s="506"/>
      <c r="E72" s="500"/>
    </row>
    <row r="73" spans="1:5" x14ac:dyDescent="0.2">
      <c r="A73" s="504" t="s">
        <v>619</v>
      </c>
      <c r="B73" s="505"/>
      <c r="C73" s="505"/>
      <c r="D73" s="506"/>
      <c r="E73" s="500"/>
    </row>
    <row r="74" spans="1:5" x14ac:dyDescent="0.2">
      <c r="A74" s="504"/>
      <c r="B74" s="505" t="s">
        <v>230</v>
      </c>
      <c r="C74" s="505" t="s">
        <v>620</v>
      </c>
      <c r="D74" s="506">
        <v>10591</v>
      </c>
      <c r="E74" s="500"/>
    </row>
    <row r="75" spans="1:5" x14ac:dyDescent="0.2">
      <c r="A75" s="504"/>
      <c r="B75" s="505"/>
      <c r="C75" s="505" t="s">
        <v>621</v>
      </c>
      <c r="D75" s="506">
        <v>3000</v>
      </c>
      <c r="E75" s="500"/>
    </row>
    <row r="76" spans="1:5" x14ac:dyDescent="0.2">
      <c r="A76" s="504"/>
      <c r="B76" s="505"/>
      <c r="C76" s="505" t="s">
        <v>622</v>
      </c>
      <c r="D76" s="506">
        <v>181610</v>
      </c>
      <c r="E76" s="500">
        <f>SUM(D74:D76)</f>
        <v>195201</v>
      </c>
    </row>
    <row r="77" spans="1:5" x14ac:dyDescent="0.2">
      <c r="A77" s="504"/>
      <c r="B77" s="505"/>
      <c r="C77" s="505"/>
      <c r="D77" s="506"/>
      <c r="E77" s="500"/>
    </row>
    <row r="78" spans="1:5" x14ac:dyDescent="0.2">
      <c r="A78" s="504" t="s">
        <v>623</v>
      </c>
      <c r="B78" s="505" t="s">
        <v>617</v>
      </c>
      <c r="C78" s="505" t="s">
        <v>624</v>
      </c>
      <c r="D78" s="506">
        <v>33290</v>
      </c>
      <c r="E78" s="500">
        <v>33290</v>
      </c>
    </row>
    <row r="79" spans="1:5" x14ac:dyDescent="0.2">
      <c r="A79" s="504"/>
      <c r="B79" s="505"/>
      <c r="C79" s="505"/>
      <c r="D79" s="506"/>
      <c r="E79" s="500"/>
    </row>
    <row r="80" spans="1:5" ht="13.5" thickBot="1" x14ac:dyDescent="0.25">
      <c r="A80" s="523"/>
      <c r="B80" s="524"/>
      <c r="C80" s="525" t="s">
        <v>625</v>
      </c>
      <c r="D80" s="526">
        <f>SUM(D67:D79)</f>
        <v>528441</v>
      </c>
      <c r="E80" s="500"/>
    </row>
    <row r="81" spans="1:5" x14ac:dyDescent="0.2">
      <c r="E81" s="500"/>
    </row>
    <row r="82" spans="1:5" x14ac:dyDescent="0.2">
      <c r="E82" s="500"/>
    </row>
    <row r="83" spans="1:5" x14ac:dyDescent="0.2">
      <c r="E83" s="500"/>
    </row>
    <row r="84" spans="1:5" ht="13.5" thickBot="1" x14ac:dyDescent="0.25">
      <c r="E84" s="500"/>
    </row>
    <row r="85" spans="1:5" x14ac:dyDescent="0.2">
      <c r="A85" s="527"/>
      <c r="B85" s="491" t="s">
        <v>626</v>
      </c>
      <c r="C85" s="490"/>
      <c r="D85" s="528"/>
      <c r="E85" s="500"/>
    </row>
    <row r="86" spans="1:5" x14ac:dyDescent="0.2">
      <c r="A86" s="503"/>
      <c r="B86" s="494"/>
      <c r="C86" s="495"/>
      <c r="D86" s="498"/>
      <c r="E86" s="500"/>
    </row>
    <row r="87" spans="1:5" x14ac:dyDescent="0.2">
      <c r="A87" s="503" t="s">
        <v>559</v>
      </c>
      <c r="B87" s="494"/>
      <c r="C87" s="495"/>
      <c r="D87" s="498"/>
      <c r="E87" s="500"/>
    </row>
    <row r="88" spans="1:5" x14ac:dyDescent="0.2">
      <c r="A88" s="503"/>
      <c r="B88" s="499" t="s">
        <v>627</v>
      </c>
      <c r="C88" s="495" t="s">
        <v>628</v>
      </c>
      <c r="D88" s="498">
        <v>72110</v>
      </c>
      <c r="E88" s="500"/>
    </row>
    <row r="89" spans="1:5" x14ac:dyDescent="0.2">
      <c r="A89" s="503"/>
      <c r="B89" s="499" t="s">
        <v>629</v>
      </c>
      <c r="C89" s="495" t="s">
        <v>630</v>
      </c>
      <c r="D89" s="498">
        <v>20320</v>
      </c>
      <c r="E89" s="500">
        <f>SUM(D88:D89)</f>
        <v>92430</v>
      </c>
    </row>
    <row r="90" spans="1:5" x14ac:dyDescent="0.2">
      <c r="A90" s="504" t="s">
        <v>631</v>
      </c>
      <c r="B90" s="505"/>
      <c r="C90" s="505"/>
      <c r="D90" s="506"/>
      <c r="E90" s="500"/>
    </row>
    <row r="91" spans="1:5" x14ac:dyDescent="0.2">
      <c r="A91" s="504"/>
      <c r="B91" s="505" t="s">
        <v>627</v>
      </c>
      <c r="C91" s="505" t="s">
        <v>632</v>
      </c>
      <c r="D91" s="506">
        <v>82525</v>
      </c>
      <c r="E91" s="500"/>
    </row>
    <row r="92" spans="1:5" x14ac:dyDescent="0.2">
      <c r="A92" s="504"/>
      <c r="B92" s="505" t="s">
        <v>633</v>
      </c>
      <c r="C92" s="505" t="s">
        <v>634</v>
      </c>
      <c r="D92" s="506">
        <v>54483</v>
      </c>
      <c r="E92" s="500"/>
    </row>
    <row r="93" spans="1:5" x14ac:dyDescent="0.2">
      <c r="A93" s="504"/>
      <c r="B93" s="505"/>
      <c r="C93" s="505"/>
      <c r="D93" s="506"/>
      <c r="E93" s="500">
        <f>SUM(D91:D92)</f>
        <v>137008</v>
      </c>
    </row>
    <row r="94" spans="1:5" x14ac:dyDescent="0.2">
      <c r="A94" s="504"/>
      <c r="B94" s="505"/>
      <c r="C94" s="505"/>
      <c r="D94" s="506"/>
      <c r="E94" s="500"/>
    </row>
    <row r="95" spans="1:5" ht="13.5" thickBot="1" x14ac:dyDescent="0.25">
      <c r="A95" s="523"/>
      <c r="B95" s="524"/>
      <c r="C95" s="525" t="s">
        <v>625</v>
      </c>
      <c r="D95" s="526">
        <f>SUM(D88:D94)</f>
        <v>229438</v>
      </c>
      <c r="E95" s="500"/>
    </row>
    <row r="96" spans="1:5" x14ac:dyDescent="0.2">
      <c r="E96" s="500"/>
    </row>
    <row r="97" spans="1:5" x14ac:dyDescent="0.2">
      <c r="E97" s="500"/>
    </row>
    <row r="98" spans="1:5" x14ac:dyDescent="0.2">
      <c r="E98" s="500"/>
    </row>
    <row r="99" spans="1:5" ht="13.5" thickBot="1" x14ac:dyDescent="0.25">
      <c r="E99" s="500"/>
    </row>
    <row r="100" spans="1:5" x14ac:dyDescent="0.2">
      <c r="A100" s="527"/>
      <c r="B100" s="491" t="s">
        <v>635</v>
      </c>
      <c r="C100" s="490"/>
      <c r="D100" s="528"/>
      <c r="E100" s="500"/>
    </row>
    <row r="101" spans="1:5" x14ac:dyDescent="0.2">
      <c r="A101" s="503"/>
      <c r="B101" s="494"/>
      <c r="C101" s="495"/>
      <c r="D101" s="498"/>
      <c r="E101" s="500"/>
    </row>
    <row r="102" spans="1:5" x14ac:dyDescent="0.2">
      <c r="A102" s="503" t="s">
        <v>636</v>
      </c>
      <c r="B102" s="494"/>
      <c r="C102" s="495"/>
      <c r="D102" s="498"/>
      <c r="E102" s="500"/>
    </row>
    <row r="103" spans="1:5" x14ac:dyDescent="0.2">
      <c r="A103" s="503"/>
      <c r="B103" s="499" t="s">
        <v>637</v>
      </c>
      <c r="C103" s="495" t="s">
        <v>638</v>
      </c>
      <c r="D103" s="498">
        <v>1440320</v>
      </c>
      <c r="E103" s="500"/>
    </row>
    <row r="104" spans="1:5" x14ac:dyDescent="0.2">
      <c r="A104" s="503"/>
      <c r="B104" s="499"/>
      <c r="C104" s="495"/>
      <c r="D104" s="498"/>
      <c r="E104" s="500"/>
    </row>
    <row r="105" spans="1:5" x14ac:dyDescent="0.2">
      <c r="A105" s="504"/>
      <c r="B105" s="505"/>
      <c r="C105" s="505"/>
      <c r="D105" s="506"/>
      <c r="E105" s="500"/>
    </row>
    <row r="106" spans="1:5" ht="13.5" thickBot="1" x14ac:dyDescent="0.25">
      <c r="A106" s="523"/>
      <c r="B106" s="524"/>
      <c r="C106" s="525" t="s">
        <v>625</v>
      </c>
      <c r="D106" s="526">
        <f>SUM(D101:D105)</f>
        <v>1440320</v>
      </c>
      <c r="E106" s="500">
        <v>1440320</v>
      </c>
    </row>
    <row r="107" spans="1:5" x14ac:dyDescent="0.2">
      <c r="E107" s="500"/>
    </row>
    <row r="108" spans="1:5" x14ac:dyDescent="0.2">
      <c r="E108" s="500"/>
    </row>
    <row r="109" spans="1:5" x14ac:dyDescent="0.2">
      <c r="E109" s="500"/>
    </row>
    <row r="110" spans="1:5" ht="13.5" thickBot="1" x14ac:dyDescent="0.25">
      <c r="E110" s="500"/>
    </row>
    <row r="111" spans="1:5" x14ac:dyDescent="0.2">
      <c r="A111" s="527"/>
      <c r="B111" s="491" t="s">
        <v>639</v>
      </c>
      <c r="C111" s="490"/>
      <c r="D111" s="528"/>
      <c r="E111" s="500"/>
    </row>
    <row r="112" spans="1:5" x14ac:dyDescent="0.2">
      <c r="A112" s="503"/>
      <c r="B112" s="494"/>
      <c r="C112" s="495"/>
      <c r="D112" s="498"/>
      <c r="E112" s="500"/>
    </row>
    <row r="113" spans="1:5" x14ac:dyDescent="0.2">
      <c r="A113" s="503" t="s">
        <v>636</v>
      </c>
      <c r="B113" s="494"/>
      <c r="C113" s="495"/>
      <c r="D113" s="498"/>
      <c r="E113" s="500"/>
    </row>
    <row r="114" spans="1:5" x14ac:dyDescent="0.2">
      <c r="A114" s="503"/>
      <c r="B114" s="499" t="s">
        <v>640</v>
      </c>
      <c r="C114" s="495" t="s">
        <v>580</v>
      </c>
      <c r="D114" s="498">
        <v>260350</v>
      </c>
      <c r="E114" s="500"/>
    </row>
    <row r="115" spans="1:5" x14ac:dyDescent="0.2">
      <c r="A115" s="503"/>
      <c r="B115" s="499"/>
      <c r="C115" s="495"/>
      <c r="D115" s="498"/>
      <c r="E115" s="500"/>
    </row>
    <row r="116" spans="1:5" x14ac:dyDescent="0.2">
      <c r="A116" s="504"/>
      <c r="B116" s="505"/>
      <c r="C116" s="505"/>
      <c r="D116" s="506"/>
      <c r="E116" s="500"/>
    </row>
    <row r="117" spans="1:5" ht="13.5" thickBot="1" x14ac:dyDescent="0.25">
      <c r="A117" s="523"/>
      <c r="B117" s="524"/>
      <c r="C117" s="525" t="s">
        <v>625</v>
      </c>
      <c r="D117" s="526">
        <f>SUM(D112:D116)</f>
        <v>260350</v>
      </c>
      <c r="E117" s="500">
        <v>260350</v>
      </c>
    </row>
    <row r="118" spans="1:5" x14ac:dyDescent="0.2">
      <c r="E118" s="500"/>
    </row>
    <row r="119" spans="1:5" x14ac:dyDescent="0.2">
      <c r="E119" s="500"/>
    </row>
    <row r="120" spans="1:5" x14ac:dyDescent="0.2">
      <c r="E120" s="500"/>
    </row>
    <row r="121" spans="1:5" x14ac:dyDescent="0.2">
      <c r="E121" s="500"/>
    </row>
    <row r="122" spans="1:5" x14ac:dyDescent="0.2">
      <c r="E122" s="500"/>
    </row>
    <row r="123" spans="1:5" ht="13.5" thickBot="1" x14ac:dyDescent="0.25">
      <c r="E123" s="500"/>
    </row>
    <row r="124" spans="1:5" x14ac:dyDescent="0.2">
      <c r="A124" s="527"/>
      <c r="B124" s="657" t="s">
        <v>641</v>
      </c>
      <c r="C124" s="658"/>
      <c r="D124" s="528"/>
    </row>
    <row r="125" spans="1:5" x14ac:dyDescent="0.2">
      <c r="A125" s="503"/>
      <c r="B125" s="494"/>
      <c r="C125" s="495"/>
      <c r="D125" s="498"/>
    </row>
    <row r="126" spans="1:5" x14ac:dyDescent="0.2">
      <c r="A126" s="503" t="s">
        <v>642</v>
      </c>
      <c r="B126" s="494"/>
      <c r="C126" s="495"/>
      <c r="D126" s="498"/>
    </row>
    <row r="127" spans="1:5" x14ac:dyDescent="0.2">
      <c r="A127" s="503"/>
      <c r="B127" s="529" t="s">
        <v>643</v>
      </c>
      <c r="C127" s="495" t="s">
        <v>644</v>
      </c>
      <c r="D127" s="498">
        <v>744220</v>
      </c>
    </row>
    <row r="128" spans="1:5" x14ac:dyDescent="0.2">
      <c r="A128" s="503"/>
      <c r="B128" s="499"/>
      <c r="C128" s="495" t="s">
        <v>645</v>
      </c>
      <c r="D128" s="498">
        <v>320040</v>
      </c>
    </row>
    <row r="129" spans="1:5" x14ac:dyDescent="0.2">
      <c r="A129" s="503"/>
      <c r="B129" s="494"/>
      <c r="C129" s="495" t="s">
        <v>646</v>
      </c>
      <c r="D129" s="498">
        <v>64008</v>
      </c>
    </row>
    <row r="130" spans="1:5" x14ac:dyDescent="0.2">
      <c r="A130" s="507"/>
      <c r="B130" s="509"/>
      <c r="C130" s="505" t="s">
        <v>647</v>
      </c>
      <c r="D130" s="506">
        <v>699999</v>
      </c>
    </row>
    <row r="131" spans="1:5" x14ac:dyDescent="0.2">
      <c r="A131" s="507"/>
      <c r="B131" s="509"/>
      <c r="C131" s="505" t="s">
        <v>648</v>
      </c>
      <c r="D131" s="506">
        <v>264008</v>
      </c>
    </row>
    <row r="132" spans="1:5" x14ac:dyDescent="0.2">
      <c r="A132" s="507"/>
      <c r="B132" s="509"/>
      <c r="C132" s="505" t="s">
        <v>649</v>
      </c>
      <c r="D132" s="506">
        <v>61951</v>
      </c>
    </row>
    <row r="133" spans="1:5" x14ac:dyDescent="0.2">
      <c r="A133" s="507"/>
      <c r="B133" s="509"/>
      <c r="C133" s="505" t="s">
        <v>650</v>
      </c>
      <c r="D133" s="498">
        <v>304800</v>
      </c>
    </row>
    <row r="134" spans="1:5" x14ac:dyDescent="0.2">
      <c r="A134" s="504"/>
      <c r="B134" s="505"/>
      <c r="C134" s="505" t="s">
        <v>651</v>
      </c>
      <c r="D134" s="506">
        <v>120420</v>
      </c>
    </row>
    <row r="135" spans="1:5" x14ac:dyDescent="0.2">
      <c r="A135" s="504"/>
      <c r="B135" s="505"/>
      <c r="C135" s="505" t="s">
        <v>652</v>
      </c>
      <c r="D135" s="506">
        <v>81280</v>
      </c>
    </row>
    <row r="136" spans="1:5" x14ac:dyDescent="0.2">
      <c r="A136" s="504"/>
      <c r="B136" s="505"/>
      <c r="C136" s="505" t="s">
        <v>653</v>
      </c>
      <c r="D136" s="506">
        <v>112014</v>
      </c>
    </row>
    <row r="137" spans="1:5" x14ac:dyDescent="0.2">
      <c r="A137" s="504"/>
      <c r="B137" s="505"/>
      <c r="C137" s="505" t="s">
        <v>654</v>
      </c>
      <c r="D137" s="506">
        <v>2885175</v>
      </c>
    </row>
    <row r="138" spans="1:5" x14ac:dyDescent="0.2">
      <c r="A138" s="493"/>
      <c r="B138" s="495"/>
      <c r="C138" s="529" t="s">
        <v>138</v>
      </c>
      <c r="D138" s="530">
        <f>SUM(D127:D137)</f>
        <v>5657915</v>
      </c>
      <c r="E138" s="500">
        <v>5657915</v>
      </c>
    </row>
    <row r="139" spans="1:5" x14ac:dyDescent="0.2">
      <c r="A139" s="497"/>
      <c r="B139" s="494"/>
      <c r="C139" s="495"/>
      <c r="D139" s="498"/>
    </row>
    <row r="140" spans="1:5" x14ac:dyDescent="0.2">
      <c r="A140" s="503"/>
      <c r="B140" s="494"/>
      <c r="C140" s="495"/>
      <c r="D140" s="498"/>
    </row>
    <row r="141" spans="1:5" x14ac:dyDescent="0.2">
      <c r="A141" s="503" t="s">
        <v>642</v>
      </c>
      <c r="B141" s="494"/>
      <c r="C141" s="495"/>
      <c r="D141" s="498"/>
    </row>
    <row r="142" spans="1:5" x14ac:dyDescent="0.2">
      <c r="A142" s="503"/>
      <c r="B142" s="529" t="s">
        <v>655</v>
      </c>
      <c r="C142" s="495" t="s">
        <v>656</v>
      </c>
      <c r="D142" s="498">
        <v>1176020</v>
      </c>
    </row>
    <row r="143" spans="1:5" x14ac:dyDescent="0.2">
      <c r="A143" s="503"/>
      <c r="B143" s="499"/>
      <c r="C143" s="495" t="s">
        <v>645</v>
      </c>
      <c r="D143" s="498">
        <v>320040</v>
      </c>
    </row>
    <row r="144" spans="1:5" x14ac:dyDescent="0.2">
      <c r="A144" s="503"/>
      <c r="B144" s="494"/>
      <c r="C144" s="495" t="s">
        <v>657</v>
      </c>
      <c r="D144" s="498">
        <v>320040</v>
      </c>
    </row>
    <row r="145" spans="1:5" x14ac:dyDescent="0.2">
      <c r="A145" s="507"/>
      <c r="B145" s="509"/>
      <c r="C145" s="505" t="s">
        <v>658</v>
      </c>
      <c r="D145" s="506">
        <v>349999</v>
      </c>
    </row>
    <row r="146" spans="1:5" x14ac:dyDescent="0.2">
      <c r="A146" s="507"/>
      <c r="B146" s="509"/>
      <c r="C146" s="505" t="s">
        <v>659</v>
      </c>
      <c r="D146" s="506">
        <v>132003</v>
      </c>
    </row>
    <row r="147" spans="1:5" x14ac:dyDescent="0.2">
      <c r="A147" s="507"/>
      <c r="B147" s="509"/>
      <c r="C147" s="505" t="s">
        <v>660</v>
      </c>
      <c r="D147" s="506">
        <v>309753</v>
      </c>
    </row>
    <row r="148" spans="1:5" x14ac:dyDescent="0.2">
      <c r="A148" s="507"/>
      <c r="B148" s="509"/>
      <c r="C148" s="505" t="s">
        <v>650</v>
      </c>
      <c r="D148" s="498">
        <v>304800</v>
      </c>
    </row>
    <row r="149" spans="1:5" x14ac:dyDescent="0.2">
      <c r="A149" s="504"/>
      <c r="B149" s="505"/>
      <c r="C149" s="505" t="s">
        <v>661</v>
      </c>
      <c r="D149" s="506">
        <v>722530</v>
      </c>
    </row>
    <row r="150" spans="1:5" x14ac:dyDescent="0.2">
      <c r="A150" s="504"/>
      <c r="B150" s="505"/>
      <c r="C150" s="505" t="s">
        <v>652</v>
      </c>
      <c r="D150" s="506">
        <v>81280</v>
      </c>
    </row>
    <row r="151" spans="1:5" x14ac:dyDescent="0.2">
      <c r="A151" s="504"/>
      <c r="B151" s="505"/>
      <c r="C151" s="505" t="s">
        <v>653</v>
      </c>
      <c r="D151" s="506">
        <v>112014</v>
      </c>
    </row>
    <row r="152" spans="1:5" x14ac:dyDescent="0.2">
      <c r="A152" s="504"/>
      <c r="B152" s="505"/>
      <c r="C152" s="505" t="s">
        <v>654</v>
      </c>
      <c r="D152" s="506">
        <v>3968202</v>
      </c>
    </row>
    <row r="153" spans="1:5" x14ac:dyDescent="0.2">
      <c r="A153" s="508"/>
      <c r="B153" s="505"/>
      <c r="C153" s="531" t="s">
        <v>138</v>
      </c>
      <c r="D153" s="532">
        <f>SUM(D140:D152)</f>
        <v>7796681</v>
      </c>
      <c r="E153" s="500">
        <v>7796681</v>
      </c>
    </row>
    <row r="154" spans="1:5" x14ac:dyDescent="0.2">
      <c r="A154" s="495"/>
      <c r="B154" s="495"/>
      <c r="C154" s="495"/>
      <c r="D154" s="522"/>
    </row>
    <row r="155" spans="1:5" x14ac:dyDescent="0.2">
      <c r="A155" s="529"/>
      <c r="B155" s="495"/>
      <c r="C155" s="533" t="s">
        <v>662</v>
      </c>
      <c r="D155" s="534">
        <v>13454596</v>
      </c>
      <c r="E155" s="500"/>
    </row>
    <row r="156" spans="1:5" x14ac:dyDescent="0.2">
      <c r="A156" s="535"/>
      <c r="B156" s="514"/>
      <c r="C156" s="514"/>
      <c r="D156" s="515"/>
    </row>
    <row r="157" spans="1:5" x14ac:dyDescent="0.2">
      <c r="A157" s="535"/>
      <c r="B157" s="514"/>
      <c r="C157" s="536" t="s">
        <v>690</v>
      </c>
      <c r="D157" s="515"/>
      <c r="E157" s="500">
        <f>SUM(E4:E155)</f>
        <v>92156331</v>
      </c>
    </row>
    <row r="158" spans="1:5" x14ac:dyDescent="0.2">
      <c r="A158" s="514"/>
      <c r="B158" s="514"/>
      <c r="C158" s="535"/>
      <c r="D158" s="513"/>
    </row>
    <row r="159" spans="1:5" ht="13.5" thickBot="1" x14ac:dyDescent="0.25">
      <c r="A159" s="514"/>
      <c r="B159" s="514"/>
      <c r="C159" s="514"/>
      <c r="D159" s="514"/>
    </row>
    <row r="160" spans="1:5" x14ac:dyDescent="0.2">
      <c r="A160" s="489"/>
      <c r="B160" s="657" t="s">
        <v>664</v>
      </c>
      <c r="C160" s="658"/>
      <c r="D160" s="537"/>
    </row>
    <row r="161" spans="1:4" x14ac:dyDescent="0.2">
      <c r="A161" s="503"/>
      <c r="B161" s="494"/>
      <c r="C161" s="495"/>
      <c r="D161" s="498"/>
    </row>
    <row r="162" spans="1:4" x14ac:dyDescent="0.2">
      <c r="A162" s="503"/>
      <c r="B162" s="659" t="s">
        <v>665</v>
      </c>
      <c r="C162" s="660"/>
      <c r="D162" s="498"/>
    </row>
    <row r="163" spans="1:4" x14ac:dyDescent="0.2">
      <c r="A163" s="493"/>
      <c r="B163" s="495"/>
      <c r="C163" s="495"/>
      <c r="D163" s="538"/>
    </row>
    <row r="164" spans="1:4" x14ac:dyDescent="0.2">
      <c r="A164" s="497"/>
      <c r="B164" s="495" t="s">
        <v>666</v>
      </c>
      <c r="C164" s="495" t="s">
        <v>667</v>
      </c>
      <c r="D164" s="538">
        <v>60000</v>
      </c>
    </row>
    <row r="165" spans="1:4" x14ac:dyDescent="0.2">
      <c r="A165" s="497"/>
      <c r="B165" s="495" t="s">
        <v>668</v>
      </c>
      <c r="C165" s="495" t="s">
        <v>667</v>
      </c>
      <c r="D165" s="538">
        <v>60000</v>
      </c>
    </row>
    <row r="166" spans="1:4" x14ac:dyDescent="0.2">
      <c r="A166" s="493"/>
      <c r="B166" s="495" t="s">
        <v>669</v>
      </c>
      <c r="C166" s="529" t="s">
        <v>667</v>
      </c>
      <c r="D166" s="538">
        <v>60000</v>
      </c>
    </row>
    <row r="167" spans="1:4" x14ac:dyDescent="0.2">
      <c r="A167" s="493"/>
      <c r="B167" s="495" t="s">
        <v>670</v>
      </c>
      <c r="C167" s="495" t="s">
        <v>667</v>
      </c>
      <c r="D167" s="538">
        <v>60000</v>
      </c>
    </row>
    <row r="168" spans="1:4" x14ac:dyDescent="0.2">
      <c r="A168" s="493"/>
      <c r="B168" s="494"/>
      <c r="C168" s="495" t="s">
        <v>671</v>
      </c>
      <c r="D168" s="538">
        <v>190000</v>
      </c>
    </row>
    <row r="169" spans="1:4" x14ac:dyDescent="0.2">
      <c r="A169" s="493"/>
      <c r="B169" s="495"/>
      <c r="C169" s="529" t="s">
        <v>138</v>
      </c>
      <c r="D169" s="530">
        <f>SUM(D164:D168)</f>
        <v>430000</v>
      </c>
    </row>
    <row r="170" spans="1:4" x14ac:dyDescent="0.2">
      <c r="A170" s="493"/>
      <c r="B170" s="495"/>
      <c r="C170" s="495"/>
      <c r="D170" s="496"/>
    </row>
    <row r="171" spans="1:4" x14ac:dyDescent="0.2">
      <c r="A171" s="493"/>
      <c r="B171" s="529" t="s">
        <v>672</v>
      </c>
      <c r="C171" s="495"/>
      <c r="D171" s="496"/>
    </row>
    <row r="172" spans="1:4" x14ac:dyDescent="0.2">
      <c r="A172" s="493"/>
      <c r="B172" s="495"/>
      <c r="C172" s="495"/>
      <c r="D172" s="496"/>
    </row>
    <row r="173" spans="1:4" x14ac:dyDescent="0.2">
      <c r="A173" s="493"/>
      <c r="B173" s="495" t="s">
        <v>673</v>
      </c>
      <c r="C173" s="495" t="s">
        <v>674</v>
      </c>
      <c r="D173" s="498">
        <v>180340</v>
      </c>
    </row>
    <row r="174" spans="1:4" x14ac:dyDescent="0.2">
      <c r="A174" s="493"/>
      <c r="B174" s="495"/>
      <c r="C174" s="495" t="s">
        <v>675</v>
      </c>
      <c r="D174" s="498">
        <v>860552</v>
      </c>
    </row>
    <row r="175" spans="1:4" x14ac:dyDescent="0.2">
      <c r="A175" s="493"/>
      <c r="B175" s="495"/>
      <c r="C175" s="495" t="s">
        <v>676</v>
      </c>
      <c r="D175" s="498">
        <v>168295</v>
      </c>
    </row>
    <row r="176" spans="1:4" x14ac:dyDescent="0.2">
      <c r="A176" s="493"/>
      <c r="B176" s="495"/>
      <c r="C176" s="495" t="s">
        <v>632</v>
      </c>
      <c r="D176" s="498">
        <v>124388</v>
      </c>
    </row>
    <row r="177" spans="1:5" x14ac:dyDescent="0.2">
      <c r="A177" s="493"/>
      <c r="B177" s="495"/>
      <c r="C177" s="495" t="s">
        <v>677</v>
      </c>
      <c r="D177" s="498">
        <v>343438</v>
      </c>
    </row>
    <row r="178" spans="1:5" ht="13.5" thickBot="1" x14ac:dyDescent="0.25">
      <c r="A178" s="523"/>
      <c r="B178" s="524"/>
      <c r="C178" s="525" t="s">
        <v>138</v>
      </c>
      <c r="D178" s="526">
        <f>SUM(D173:D177)</f>
        <v>1677013</v>
      </c>
    </row>
    <row r="179" spans="1:5" x14ac:dyDescent="0.2">
      <c r="A179" s="514"/>
      <c r="B179" s="514"/>
      <c r="C179" s="514"/>
      <c r="D179" s="514"/>
    </row>
    <row r="180" spans="1:5" x14ac:dyDescent="0.2">
      <c r="A180" s="514"/>
      <c r="B180" s="514"/>
      <c r="C180" s="536" t="s">
        <v>678</v>
      </c>
      <c r="D180" s="514"/>
      <c r="E180" s="500">
        <v>2107013</v>
      </c>
    </row>
    <row r="181" spans="1:5" x14ac:dyDescent="0.2">
      <c r="A181" s="514"/>
      <c r="B181" s="514"/>
      <c r="C181" s="514"/>
      <c r="D181" s="514"/>
    </row>
    <row r="182" spans="1:5" x14ac:dyDescent="0.2">
      <c r="A182" s="514"/>
      <c r="B182" s="514"/>
      <c r="C182" s="514"/>
      <c r="D182" s="515"/>
    </row>
    <row r="183" spans="1:5" ht="15" x14ac:dyDescent="0.25">
      <c r="A183" s="514"/>
      <c r="B183" s="514"/>
      <c r="C183" s="570" t="s">
        <v>663</v>
      </c>
      <c r="D183" s="573"/>
      <c r="E183" s="574">
        <v>94263344</v>
      </c>
    </row>
    <row r="184" spans="1:5" x14ac:dyDescent="0.2">
      <c r="A184" s="514"/>
      <c r="B184" s="514"/>
      <c r="C184" s="514"/>
      <c r="D184" s="515"/>
    </row>
    <row r="185" spans="1:5" x14ac:dyDescent="0.2">
      <c r="A185" s="514"/>
      <c r="B185" s="514"/>
      <c r="C185" s="514"/>
      <c r="D185" s="515"/>
    </row>
    <row r="186" spans="1:5" x14ac:dyDescent="0.2">
      <c r="A186" s="514"/>
      <c r="B186" s="514"/>
      <c r="C186" s="514"/>
      <c r="D186" s="515"/>
    </row>
    <row r="187" spans="1:5" x14ac:dyDescent="0.2">
      <c r="A187" s="514"/>
      <c r="B187" s="514"/>
      <c r="C187" s="514"/>
      <c r="D187" s="515"/>
    </row>
    <row r="188" spans="1:5" x14ac:dyDescent="0.2">
      <c r="A188" s="514"/>
      <c r="B188" s="514"/>
      <c r="C188" s="514"/>
      <c r="D188" s="513"/>
    </row>
    <row r="189" spans="1:5" x14ac:dyDescent="0.2">
      <c r="A189" s="514"/>
      <c r="B189" s="514"/>
      <c r="C189" s="514"/>
      <c r="D189" s="514"/>
    </row>
  </sheetData>
  <mergeCells count="4">
    <mergeCell ref="A3:D3"/>
    <mergeCell ref="B124:C124"/>
    <mergeCell ref="B160:C160"/>
    <mergeCell ref="B162:C162"/>
  </mergeCells>
  <pageMargins left="0.19685039370078741" right="0.19685039370078741" top="0.59055118110236227" bottom="0.39370078740157483" header="0.51181102362204722" footer="0.5118110236220472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H2" sqref="H2"/>
    </sheetView>
  </sheetViews>
  <sheetFormatPr defaultRowHeight="12.75" x14ac:dyDescent="0.2"/>
  <cols>
    <col min="1" max="1" width="15.5703125" customWidth="1"/>
    <col min="2" max="2" width="13.85546875" customWidth="1"/>
    <col min="3" max="3" width="11.85546875" customWidth="1"/>
    <col min="4" max="4" width="15.28515625" customWidth="1"/>
    <col min="5" max="5" width="11" customWidth="1"/>
    <col min="6" max="6" width="13.7109375" customWidth="1"/>
    <col min="7" max="7" width="13.140625" customWidth="1"/>
    <col min="8" max="8" width="12.85546875" customWidth="1"/>
  </cols>
  <sheetData>
    <row r="1" spans="1:9" ht="14.25" x14ac:dyDescent="0.2">
      <c r="A1" s="514"/>
      <c r="B1" s="539"/>
      <c r="C1" s="539"/>
      <c r="D1" s="539"/>
      <c r="E1" s="539"/>
      <c r="H1" t="s">
        <v>694</v>
      </c>
    </row>
    <row r="2" spans="1:9" ht="15" x14ac:dyDescent="0.25">
      <c r="A2" s="514"/>
      <c r="B2" s="661" t="s">
        <v>691</v>
      </c>
      <c r="C2" s="662"/>
      <c r="D2" s="662"/>
      <c r="E2" s="662"/>
      <c r="F2" s="662"/>
    </row>
    <row r="3" spans="1:9" ht="13.5" thickBot="1" x14ac:dyDescent="0.25">
      <c r="I3" s="540"/>
    </row>
    <row r="4" spans="1:9" ht="15" x14ac:dyDescent="0.25">
      <c r="A4" s="663" t="s">
        <v>679</v>
      </c>
      <c r="B4" s="664"/>
      <c r="C4" s="664"/>
      <c r="D4" s="664"/>
      <c r="E4" s="664"/>
      <c r="F4" s="665"/>
      <c r="G4" s="665"/>
      <c r="H4" s="666"/>
    </row>
    <row r="5" spans="1:9" ht="15" x14ac:dyDescent="0.25">
      <c r="A5" s="541"/>
      <c r="B5" s="542" t="s">
        <v>680</v>
      </c>
      <c r="C5" s="542" t="s">
        <v>681</v>
      </c>
      <c r="D5" s="542" t="s">
        <v>682</v>
      </c>
      <c r="E5" s="542" t="s">
        <v>623</v>
      </c>
      <c r="F5" s="543" t="s">
        <v>559</v>
      </c>
      <c r="G5" s="544" t="s">
        <v>683</v>
      </c>
      <c r="H5" s="545" t="s">
        <v>170</v>
      </c>
    </row>
    <row r="6" spans="1:9" ht="15" x14ac:dyDescent="0.25">
      <c r="A6" s="541"/>
      <c r="B6" s="546"/>
      <c r="C6" s="546"/>
      <c r="D6" s="546"/>
      <c r="E6" s="546"/>
      <c r="F6" s="547"/>
      <c r="G6" s="548"/>
      <c r="H6" s="549"/>
    </row>
    <row r="7" spans="1:9" ht="14.25" x14ac:dyDescent="0.2">
      <c r="A7" s="550" t="s">
        <v>232</v>
      </c>
      <c r="B7" s="551">
        <v>69597669</v>
      </c>
      <c r="C7" s="551"/>
      <c r="D7" s="551">
        <v>4891444</v>
      </c>
      <c r="E7" s="551"/>
      <c r="F7" s="552">
        <v>1754073</v>
      </c>
      <c r="G7" s="553"/>
      <c r="H7" s="554">
        <f>SUM(B7:G7)</f>
        <v>76243186</v>
      </c>
    </row>
    <row r="8" spans="1:9" ht="14.25" x14ac:dyDescent="0.2">
      <c r="A8" s="550" t="s">
        <v>684</v>
      </c>
      <c r="B8" s="555">
        <v>2772740</v>
      </c>
      <c r="C8" s="555">
        <v>2885175</v>
      </c>
      <c r="D8" s="551">
        <v>137008</v>
      </c>
      <c r="E8" s="551"/>
      <c r="F8" s="552">
        <v>92430</v>
      </c>
      <c r="G8" s="553"/>
      <c r="H8" s="554">
        <f>SUM(B8:G8)</f>
        <v>5887353</v>
      </c>
    </row>
    <row r="9" spans="1:9" ht="14.25" x14ac:dyDescent="0.2">
      <c r="A9" s="550" t="s">
        <v>685</v>
      </c>
      <c r="B9" s="555">
        <v>260350</v>
      </c>
      <c r="C9" s="555"/>
      <c r="D9" s="551"/>
      <c r="E9" s="551"/>
      <c r="F9" s="552"/>
      <c r="G9" s="553"/>
      <c r="H9" s="554">
        <v>260350</v>
      </c>
    </row>
    <row r="10" spans="1:9" ht="14.25" x14ac:dyDescent="0.2">
      <c r="A10" s="550" t="s">
        <v>686</v>
      </c>
      <c r="B10" s="556">
        <v>141200</v>
      </c>
      <c r="C10" s="556"/>
      <c r="D10" s="557">
        <v>195201</v>
      </c>
      <c r="E10" s="551">
        <v>33290</v>
      </c>
      <c r="F10" s="552">
        <v>158750</v>
      </c>
      <c r="G10" s="553"/>
      <c r="H10" s="554">
        <f>SUM(B10:G10)</f>
        <v>528441</v>
      </c>
    </row>
    <row r="11" spans="1:9" ht="14.25" x14ac:dyDescent="0.2">
      <c r="A11" s="550" t="s">
        <v>687</v>
      </c>
      <c r="B11" s="551">
        <v>3828479</v>
      </c>
      <c r="C11" s="551">
        <v>3968202</v>
      </c>
      <c r="D11" s="551"/>
      <c r="E11" s="551"/>
      <c r="F11" s="552"/>
      <c r="G11" s="553"/>
      <c r="H11" s="554">
        <f>SUM(B11:G11)</f>
        <v>7796681</v>
      </c>
    </row>
    <row r="12" spans="1:9" ht="14.25" x14ac:dyDescent="0.2">
      <c r="A12" s="550" t="s">
        <v>688</v>
      </c>
      <c r="B12" s="551"/>
      <c r="C12" s="551">
        <v>1440320</v>
      </c>
      <c r="D12" s="551"/>
      <c r="E12" s="551"/>
      <c r="F12" s="552"/>
      <c r="G12" s="553"/>
      <c r="H12" s="554">
        <f>SUM(B12:G12)</f>
        <v>1440320</v>
      </c>
    </row>
    <row r="13" spans="1:9" ht="15" x14ac:dyDescent="0.25">
      <c r="A13" s="558" t="s">
        <v>170</v>
      </c>
      <c r="B13" s="559">
        <f>SUM(B7:B11)</f>
        <v>76600438</v>
      </c>
      <c r="C13" s="559">
        <f>SUM(C6:C12)</f>
        <v>8293697</v>
      </c>
      <c r="D13" s="559">
        <f>SUM(D7:D11)</f>
        <v>5223653</v>
      </c>
      <c r="E13" s="559">
        <v>33290</v>
      </c>
      <c r="F13" s="559">
        <f>SUM(F7:F12)</f>
        <v>2005253</v>
      </c>
      <c r="G13" s="560">
        <f>SUM(G7:G12)</f>
        <v>0</v>
      </c>
      <c r="H13" s="561">
        <f>SUM(B13:G13)</f>
        <v>92156331</v>
      </c>
    </row>
    <row r="14" spans="1:9" ht="15" thickBot="1" x14ac:dyDescent="0.25">
      <c r="A14" s="562"/>
      <c r="B14" s="563"/>
      <c r="C14" s="563"/>
      <c r="D14" s="563"/>
      <c r="E14" s="563"/>
      <c r="F14" s="564"/>
      <c r="G14" s="565"/>
      <c r="H14" s="566"/>
    </row>
    <row r="15" spans="1:9" ht="15" x14ac:dyDescent="0.2">
      <c r="E15" s="567"/>
    </row>
    <row r="16" spans="1:9" ht="15" x14ac:dyDescent="0.2">
      <c r="E16" s="567"/>
    </row>
    <row r="18" spans="1:8" x14ac:dyDescent="0.2">
      <c r="A18" s="514"/>
      <c r="B18" s="514"/>
      <c r="C18" s="514"/>
      <c r="D18" s="514"/>
      <c r="E18" s="514"/>
      <c r="F18" s="514"/>
      <c r="G18" s="514"/>
      <c r="H18" s="514"/>
    </row>
    <row r="19" spans="1:8" ht="15" x14ac:dyDescent="0.25">
      <c r="A19" s="667" t="s">
        <v>692</v>
      </c>
      <c r="B19" s="667"/>
      <c r="C19" s="667"/>
      <c r="D19" s="667"/>
      <c r="E19" s="667"/>
      <c r="F19" s="668"/>
      <c r="G19" s="668"/>
      <c r="H19" s="668"/>
    </row>
    <row r="20" spans="1:8" ht="15.75" thickBot="1" x14ac:dyDescent="0.3">
      <c r="A20" s="571"/>
      <c r="B20" s="568"/>
      <c r="C20" s="568"/>
      <c r="D20" s="568"/>
      <c r="E20" s="568"/>
      <c r="F20" s="569"/>
      <c r="G20" s="569"/>
      <c r="H20" s="569"/>
    </row>
    <row r="21" spans="1:8" ht="15" x14ac:dyDescent="0.25">
      <c r="A21" s="663" t="s">
        <v>679</v>
      </c>
      <c r="B21" s="664"/>
      <c r="C21" s="664"/>
      <c r="D21" s="664"/>
      <c r="E21" s="664"/>
      <c r="F21" s="665"/>
      <c r="G21" s="665"/>
      <c r="H21" s="666"/>
    </row>
    <row r="22" spans="1:8" ht="15" x14ac:dyDescent="0.25">
      <c r="A22" s="541"/>
      <c r="B22" s="542" t="s">
        <v>680</v>
      </c>
      <c r="C22" s="542" t="s">
        <v>681</v>
      </c>
      <c r="D22" s="542" t="s">
        <v>682</v>
      </c>
      <c r="E22" s="542" t="s">
        <v>623</v>
      </c>
      <c r="F22" s="543" t="s">
        <v>559</v>
      </c>
      <c r="G22" s="544" t="s">
        <v>683</v>
      </c>
      <c r="H22" s="545" t="s">
        <v>170</v>
      </c>
    </row>
    <row r="23" spans="1:8" ht="15" x14ac:dyDescent="0.25">
      <c r="A23" s="541"/>
      <c r="B23" s="546"/>
      <c r="C23" s="546"/>
      <c r="D23" s="546"/>
      <c r="E23" s="546"/>
      <c r="F23" s="547"/>
      <c r="G23" s="548"/>
      <c r="H23" s="549"/>
    </row>
    <row r="24" spans="1:8" ht="14.25" x14ac:dyDescent="0.2">
      <c r="A24" s="550" t="s">
        <v>232</v>
      </c>
      <c r="B24" s="551"/>
      <c r="C24" s="551"/>
      <c r="D24" s="551">
        <v>1496673</v>
      </c>
      <c r="E24" s="551"/>
      <c r="F24" s="552">
        <v>180340</v>
      </c>
      <c r="G24" s="553"/>
      <c r="H24" s="554">
        <f>SUM(D24:G24)</f>
        <v>1677013</v>
      </c>
    </row>
    <row r="25" spans="1:8" ht="14.25" x14ac:dyDescent="0.2">
      <c r="A25" s="550" t="s">
        <v>684</v>
      </c>
      <c r="B25" s="555">
        <v>430000</v>
      </c>
      <c r="C25" s="555"/>
      <c r="D25" s="551"/>
      <c r="E25" s="551"/>
      <c r="F25" s="552"/>
      <c r="G25" s="553"/>
      <c r="H25" s="554">
        <f>SUM(B25:G25)</f>
        <v>430000</v>
      </c>
    </row>
    <row r="26" spans="1:8" ht="14.25" x14ac:dyDescent="0.2">
      <c r="A26" s="550" t="s">
        <v>685</v>
      </c>
      <c r="B26" s="555"/>
      <c r="C26" s="555"/>
      <c r="D26" s="551"/>
      <c r="E26" s="551"/>
      <c r="F26" s="552"/>
      <c r="G26" s="553"/>
      <c r="H26" s="554"/>
    </row>
    <row r="27" spans="1:8" ht="14.25" x14ac:dyDescent="0.2">
      <c r="A27" s="550" t="s">
        <v>686</v>
      </c>
      <c r="B27" s="556"/>
      <c r="C27" s="556"/>
      <c r="D27" s="557"/>
      <c r="E27" s="551"/>
      <c r="F27" s="552"/>
      <c r="G27" s="553"/>
      <c r="H27" s="554"/>
    </row>
    <row r="28" spans="1:8" ht="14.25" x14ac:dyDescent="0.2">
      <c r="A28" s="550" t="s">
        <v>687</v>
      </c>
      <c r="B28" s="551"/>
      <c r="C28" s="551"/>
      <c r="D28" s="551"/>
      <c r="E28" s="551"/>
      <c r="F28" s="552"/>
      <c r="G28" s="553"/>
      <c r="H28" s="554"/>
    </row>
    <row r="29" spans="1:8" ht="14.25" x14ac:dyDescent="0.2">
      <c r="A29" s="550" t="s">
        <v>688</v>
      </c>
      <c r="B29" s="551"/>
      <c r="C29" s="551"/>
      <c r="D29" s="551"/>
      <c r="E29" s="551"/>
      <c r="F29" s="552"/>
      <c r="G29" s="553"/>
      <c r="H29" s="554"/>
    </row>
    <row r="30" spans="1:8" ht="15" x14ac:dyDescent="0.25">
      <c r="A30" s="558" t="s">
        <v>170</v>
      </c>
      <c r="B30" s="559">
        <f>SUM(B24:B28)</f>
        <v>430000</v>
      </c>
      <c r="C30" s="559">
        <f>SUM(C23:C29)</f>
        <v>0</v>
      </c>
      <c r="D30" s="559">
        <f>SUM(D24:D28)</f>
        <v>1496673</v>
      </c>
      <c r="E30" s="559">
        <v>0</v>
      </c>
      <c r="F30" s="559">
        <f>SUM(F24:F29)</f>
        <v>180340</v>
      </c>
      <c r="G30" s="560"/>
      <c r="H30" s="561">
        <f>SUM(H24:H29)</f>
        <v>2107013</v>
      </c>
    </row>
    <row r="31" spans="1:8" ht="15" thickBot="1" x14ac:dyDescent="0.25">
      <c r="A31" s="562"/>
      <c r="B31" s="563"/>
      <c r="C31" s="563"/>
      <c r="D31" s="563"/>
      <c r="E31" s="563"/>
      <c r="F31" s="564"/>
      <c r="G31" s="565"/>
      <c r="H31" s="566"/>
    </row>
    <row r="32" spans="1:8" x14ac:dyDescent="0.2">
      <c r="A32" s="514"/>
      <c r="B32" s="514"/>
      <c r="C32" s="514"/>
      <c r="D32" s="514"/>
      <c r="E32" s="514"/>
      <c r="F32" s="514"/>
      <c r="G32" s="514"/>
      <c r="H32" s="514"/>
    </row>
    <row r="35" spans="5:8" ht="15" x14ac:dyDescent="0.25">
      <c r="E35" s="669" t="s">
        <v>663</v>
      </c>
      <c r="F35" s="669"/>
      <c r="G35" s="575"/>
      <c r="H35" s="574">
        <v>94263344</v>
      </c>
    </row>
  </sheetData>
  <mergeCells count="5">
    <mergeCell ref="B2:F2"/>
    <mergeCell ref="A4:H4"/>
    <mergeCell ref="A19:H19"/>
    <mergeCell ref="A21:H21"/>
    <mergeCell ref="E35:F35"/>
  </mergeCells>
  <pageMargins left="0.78740157480314965" right="0.78740157480314965" top="0.78740157480314965" bottom="0.39370078740157483" header="0.51181102362204722" footer="0.51181102362204722"/>
  <pageSetup paperSize="9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topLeftCell="A49" zoomScaleNormal="100" workbookViewId="0">
      <selection activeCell="B57" sqref="B57"/>
    </sheetView>
  </sheetViews>
  <sheetFormatPr defaultColWidth="10.28515625" defaultRowHeight="15.75" x14ac:dyDescent="0.2"/>
  <cols>
    <col min="1" max="1" width="4.140625" style="415" customWidth="1"/>
    <col min="2" max="2" width="50.140625" style="416" customWidth="1"/>
    <col min="3" max="4" width="15.85546875" style="416" customWidth="1"/>
    <col min="5" max="5" width="14.140625" style="370" bestFit="1" customWidth="1"/>
    <col min="6" max="16384" width="10.28515625" style="370"/>
  </cols>
  <sheetData>
    <row r="1" spans="1:5" x14ac:dyDescent="0.2">
      <c r="A1" s="670" t="s">
        <v>340</v>
      </c>
      <c r="B1" s="671"/>
      <c r="C1" s="671"/>
      <c r="D1" s="672"/>
      <c r="E1" s="369"/>
    </row>
    <row r="2" spans="1:5" x14ac:dyDescent="0.25">
      <c r="A2" s="673" t="s">
        <v>341</v>
      </c>
      <c r="B2" s="674"/>
      <c r="C2" s="674"/>
      <c r="D2" s="675"/>
      <c r="E2" s="371"/>
    </row>
    <row r="3" spans="1:5" ht="16.5" thickBot="1" x14ac:dyDescent="0.25">
      <c r="A3" s="676"/>
      <c r="B3" s="677"/>
      <c r="C3" s="677"/>
      <c r="D3" s="678"/>
    </row>
    <row r="4" spans="1:5" ht="26.25" customHeight="1" thickBot="1" x14ac:dyDescent="0.25">
      <c r="A4" s="372"/>
      <c r="B4" s="373" t="s">
        <v>342</v>
      </c>
      <c r="C4" s="374" t="s">
        <v>343</v>
      </c>
      <c r="D4" s="375" t="s">
        <v>344</v>
      </c>
    </row>
    <row r="5" spans="1:5" ht="12.75" customHeight="1" x14ac:dyDescent="0.2">
      <c r="A5" s="376">
        <v>1</v>
      </c>
      <c r="B5" s="377" t="s">
        <v>345</v>
      </c>
      <c r="C5" s="378">
        <v>1606657</v>
      </c>
      <c r="D5" s="379">
        <v>1717489</v>
      </c>
    </row>
    <row r="6" spans="1:5" ht="12.75" customHeight="1" x14ac:dyDescent="0.2">
      <c r="A6" s="376"/>
      <c r="B6" s="377" t="s">
        <v>346</v>
      </c>
      <c r="C6" s="380">
        <v>1460847</v>
      </c>
      <c r="D6" s="381">
        <v>1559343</v>
      </c>
    </row>
    <row r="7" spans="1:5" ht="12.75" customHeight="1" x14ac:dyDescent="0.2">
      <c r="A7" s="376"/>
      <c r="B7" s="377" t="s">
        <v>347</v>
      </c>
      <c r="C7" s="380">
        <v>145810</v>
      </c>
      <c r="D7" s="382">
        <v>158144</v>
      </c>
    </row>
    <row r="8" spans="1:5" ht="13.5" customHeight="1" x14ac:dyDescent="0.2">
      <c r="A8" s="383">
        <v>2</v>
      </c>
      <c r="B8" s="384" t="s">
        <v>348</v>
      </c>
      <c r="C8" s="380"/>
      <c r="D8" s="381"/>
      <c r="E8" s="385"/>
    </row>
    <row r="9" spans="1:5" ht="15" customHeight="1" x14ac:dyDescent="0.2">
      <c r="A9" s="386" t="s">
        <v>349</v>
      </c>
      <c r="B9" s="387" t="s">
        <v>350</v>
      </c>
      <c r="C9" s="388">
        <f>SUM(C5,C8)</f>
        <v>1606657</v>
      </c>
      <c r="D9" s="389">
        <f>SUM(D5,D8)</f>
        <v>1717489</v>
      </c>
    </row>
    <row r="10" spans="1:5" ht="13.5" customHeight="1" x14ac:dyDescent="0.2">
      <c r="A10" s="383">
        <v>3</v>
      </c>
      <c r="B10" s="384" t="s">
        <v>351</v>
      </c>
      <c r="C10" s="390"/>
      <c r="D10" s="391"/>
    </row>
    <row r="11" spans="1:5" ht="13.5" customHeight="1" x14ac:dyDescent="0.2">
      <c r="A11" s="383">
        <v>4</v>
      </c>
      <c r="B11" s="384" t="s">
        <v>352</v>
      </c>
      <c r="C11" s="390"/>
      <c r="D11" s="391"/>
    </row>
    <row r="12" spans="1:5" ht="15" customHeight="1" x14ac:dyDescent="0.2">
      <c r="A12" s="386" t="s">
        <v>353</v>
      </c>
      <c r="B12" s="387" t="s">
        <v>354</v>
      </c>
      <c r="C12" s="390"/>
      <c r="D12" s="391"/>
    </row>
    <row r="13" spans="1:5" ht="12.75" customHeight="1" x14ac:dyDescent="0.2">
      <c r="A13" s="386" t="s">
        <v>355</v>
      </c>
      <c r="B13" s="387" t="s">
        <v>356</v>
      </c>
      <c r="C13" s="388">
        <f>SUM(C14:C15)</f>
        <v>260951</v>
      </c>
      <c r="D13" s="389">
        <f>SUM(D14:D15)</f>
        <v>257130</v>
      </c>
    </row>
    <row r="14" spans="1:5" ht="12.75" customHeight="1" x14ac:dyDescent="0.2">
      <c r="A14" s="386"/>
      <c r="B14" s="392" t="s">
        <v>357</v>
      </c>
      <c r="C14" s="390">
        <v>164000</v>
      </c>
      <c r="D14" s="391">
        <v>158556</v>
      </c>
    </row>
    <row r="15" spans="1:5" ht="12.75" customHeight="1" x14ac:dyDescent="0.2">
      <c r="A15" s="386"/>
      <c r="B15" s="392" t="s">
        <v>286</v>
      </c>
      <c r="C15" s="393">
        <f>4402+92549</f>
        <v>96951</v>
      </c>
      <c r="D15" s="394">
        <v>98574</v>
      </c>
    </row>
    <row r="16" spans="1:5" ht="12.75" customHeight="1" x14ac:dyDescent="0.2">
      <c r="A16" s="383"/>
      <c r="B16" s="384" t="s">
        <v>358</v>
      </c>
      <c r="C16" s="393"/>
      <c r="D16" s="394"/>
    </row>
    <row r="17" spans="1:4" ht="13.5" customHeight="1" x14ac:dyDescent="0.2">
      <c r="A17" s="383">
        <v>5</v>
      </c>
      <c r="B17" s="384" t="s">
        <v>68</v>
      </c>
      <c r="C17" s="390">
        <v>189131</v>
      </c>
      <c r="D17" s="391">
        <v>192686</v>
      </c>
    </row>
    <row r="18" spans="1:4" ht="15" customHeight="1" x14ac:dyDescent="0.2">
      <c r="A18" s="383">
        <v>6</v>
      </c>
      <c r="B18" s="384" t="s">
        <v>359</v>
      </c>
      <c r="C18" s="380">
        <v>355983</v>
      </c>
      <c r="D18" s="381">
        <v>372320</v>
      </c>
    </row>
    <row r="19" spans="1:4" ht="15" customHeight="1" x14ac:dyDescent="0.2">
      <c r="A19" s="383">
        <v>7</v>
      </c>
      <c r="B19" s="384" t="s">
        <v>360</v>
      </c>
      <c r="C19" s="390">
        <v>9211</v>
      </c>
      <c r="D19" s="391">
        <v>12732</v>
      </c>
    </row>
    <row r="20" spans="1:4" ht="15" customHeight="1" x14ac:dyDescent="0.2">
      <c r="A20" s="383">
        <v>8</v>
      </c>
      <c r="B20" s="384" t="s">
        <v>361</v>
      </c>
      <c r="C20" s="390"/>
      <c r="D20" s="391"/>
    </row>
    <row r="21" spans="1:4" ht="15" customHeight="1" x14ac:dyDescent="0.2">
      <c r="A21" s="383">
        <v>9</v>
      </c>
      <c r="B21" s="384" t="s">
        <v>61</v>
      </c>
      <c r="C21" s="390">
        <v>7094</v>
      </c>
      <c r="D21" s="391">
        <v>8266</v>
      </c>
    </row>
    <row r="22" spans="1:4" ht="15" customHeight="1" x14ac:dyDescent="0.2">
      <c r="A22" s="386" t="s">
        <v>362</v>
      </c>
      <c r="B22" s="387" t="s">
        <v>363</v>
      </c>
      <c r="C22" s="388">
        <f>SUM(C17:C21)</f>
        <v>561419</v>
      </c>
      <c r="D22" s="389">
        <f>SUM(D17:D21)</f>
        <v>586004</v>
      </c>
    </row>
    <row r="23" spans="1:4" ht="15" customHeight="1" x14ac:dyDescent="0.2">
      <c r="A23" s="383">
        <v>10</v>
      </c>
      <c r="B23" s="384" t="s">
        <v>65</v>
      </c>
      <c r="C23" s="390">
        <v>901882</v>
      </c>
      <c r="D23" s="391">
        <v>976032</v>
      </c>
    </row>
    <row r="24" spans="1:4" ht="15" customHeight="1" x14ac:dyDescent="0.2">
      <c r="A24" s="383">
        <v>11</v>
      </c>
      <c r="B24" s="384" t="s">
        <v>46</v>
      </c>
      <c r="C24" s="390">
        <v>45725</v>
      </c>
      <c r="D24" s="391">
        <v>48727</v>
      </c>
    </row>
    <row r="25" spans="1:4" ht="15" customHeight="1" x14ac:dyDescent="0.2">
      <c r="A25" s="383">
        <v>12</v>
      </c>
      <c r="B25" s="384" t="s">
        <v>309</v>
      </c>
      <c r="C25" s="390">
        <v>243507</v>
      </c>
      <c r="D25" s="391">
        <v>261434</v>
      </c>
    </row>
    <row r="26" spans="1:4" ht="15" customHeight="1" x14ac:dyDescent="0.2">
      <c r="A26" s="386" t="s">
        <v>364</v>
      </c>
      <c r="B26" s="387" t="s">
        <v>365</v>
      </c>
      <c r="C26" s="395">
        <f>SUM(C23:C25)</f>
        <v>1191114</v>
      </c>
      <c r="D26" s="396">
        <f>SUM(D23:D25)</f>
        <v>1286193</v>
      </c>
    </row>
    <row r="27" spans="1:4" ht="15" customHeight="1" x14ac:dyDescent="0.2">
      <c r="A27" s="386" t="s">
        <v>366</v>
      </c>
      <c r="B27" s="387" t="s">
        <v>367</v>
      </c>
      <c r="C27" s="388">
        <v>112301</v>
      </c>
      <c r="D27" s="389">
        <v>115469</v>
      </c>
    </row>
    <row r="28" spans="1:4" ht="15" customHeight="1" x14ac:dyDescent="0.2">
      <c r="A28" s="386" t="s">
        <v>368</v>
      </c>
      <c r="B28" s="387" t="s">
        <v>369</v>
      </c>
      <c r="C28" s="388">
        <v>18580</v>
      </c>
      <c r="D28" s="389">
        <v>17722</v>
      </c>
    </row>
    <row r="29" spans="1:4" ht="15" customHeight="1" x14ac:dyDescent="0.2">
      <c r="A29" s="383"/>
      <c r="B29" s="384" t="s">
        <v>370</v>
      </c>
      <c r="C29" s="390"/>
      <c r="D29" s="391"/>
    </row>
    <row r="30" spans="1:4" ht="15" customHeight="1" x14ac:dyDescent="0.2">
      <c r="A30" s="397" t="s">
        <v>371</v>
      </c>
      <c r="B30" s="398" t="s">
        <v>372</v>
      </c>
      <c r="C30" s="399">
        <f>C9+C13-C22-C26-C27-C28</f>
        <v>-15806</v>
      </c>
      <c r="D30" s="400">
        <f>D9+D13-D22-D26-D27-D28</f>
        <v>-30769</v>
      </c>
    </row>
    <row r="31" spans="1:4" ht="15" customHeight="1" x14ac:dyDescent="0.2">
      <c r="A31" s="383">
        <v>13</v>
      </c>
      <c r="B31" s="384" t="s">
        <v>373</v>
      </c>
      <c r="C31" s="390"/>
      <c r="D31" s="391"/>
    </row>
    <row r="32" spans="1:4" ht="15" customHeight="1" x14ac:dyDescent="0.2">
      <c r="A32" s="383"/>
      <c r="B32" s="384" t="s">
        <v>374</v>
      </c>
      <c r="C32" s="390"/>
      <c r="D32" s="391"/>
    </row>
    <row r="33" spans="1:4" ht="15" customHeight="1" x14ac:dyDescent="0.2">
      <c r="A33" s="383">
        <v>14</v>
      </c>
      <c r="B33" s="384" t="s">
        <v>375</v>
      </c>
      <c r="C33" s="390"/>
      <c r="D33" s="391"/>
    </row>
    <row r="34" spans="1:4" ht="15" customHeight="1" x14ac:dyDescent="0.2">
      <c r="A34" s="383"/>
      <c r="B34" s="384" t="s">
        <v>374</v>
      </c>
      <c r="C34" s="390"/>
      <c r="D34" s="391"/>
    </row>
    <row r="35" spans="1:4" ht="15" customHeight="1" x14ac:dyDescent="0.2">
      <c r="A35" s="383">
        <v>15</v>
      </c>
      <c r="B35" s="384" t="s">
        <v>376</v>
      </c>
      <c r="C35" s="395"/>
      <c r="D35" s="396"/>
    </row>
    <row r="36" spans="1:4" ht="15" customHeight="1" x14ac:dyDescent="0.2">
      <c r="A36" s="383"/>
      <c r="B36" s="384" t="s">
        <v>374</v>
      </c>
      <c r="C36" s="395"/>
      <c r="D36" s="396"/>
    </row>
    <row r="37" spans="1:4" ht="15" customHeight="1" x14ac:dyDescent="0.2">
      <c r="A37" s="383">
        <v>16</v>
      </c>
      <c r="B37" s="384" t="s">
        <v>377</v>
      </c>
      <c r="C37" s="390">
        <v>318</v>
      </c>
      <c r="D37" s="391">
        <v>89</v>
      </c>
    </row>
    <row r="38" spans="1:4" ht="15" customHeight="1" x14ac:dyDescent="0.2">
      <c r="A38" s="383"/>
      <c r="B38" s="384" t="s">
        <v>374</v>
      </c>
      <c r="C38" s="390"/>
      <c r="D38" s="391"/>
    </row>
    <row r="39" spans="1:4" ht="15" customHeight="1" x14ac:dyDescent="0.2">
      <c r="A39" s="383">
        <v>17</v>
      </c>
      <c r="B39" s="384" t="s">
        <v>378</v>
      </c>
      <c r="C39" s="390"/>
      <c r="D39" s="391"/>
    </row>
    <row r="40" spans="1:4" ht="15" customHeight="1" x14ac:dyDescent="0.2">
      <c r="A40" s="383"/>
      <c r="B40" s="401" t="s">
        <v>379</v>
      </c>
      <c r="C40" s="390"/>
      <c r="D40" s="391"/>
    </row>
    <row r="41" spans="1:4" ht="15" customHeight="1" x14ac:dyDescent="0.2">
      <c r="A41" s="386" t="s">
        <v>380</v>
      </c>
      <c r="B41" s="387" t="s">
        <v>381</v>
      </c>
      <c r="C41" s="388">
        <f>SUM(C31,C33,C35,C37,C39)</f>
        <v>318</v>
      </c>
      <c r="D41" s="389">
        <f>SUM(D31,D33,D35,D37,D39)</f>
        <v>89</v>
      </c>
    </row>
    <row r="42" spans="1:4" ht="15" customHeight="1" x14ac:dyDescent="0.2">
      <c r="A42" s="383">
        <v>18</v>
      </c>
      <c r="B42" s="384" t="s">
        <v>382</v>
      </c>
      <c r="C42" s="390"/>
      <c r="D42" s="391"/>
    </row>
    <row r="43" spans="1:4" ht="15" customHeight="1" x14ac:dyDescent="0.2">
      <c r="A43" s="383"/>
      <c r="B43" s="384" t="s">
        <v>383</v>
      </c>
      <c r="C43" s="395"/>
      <c r="D43" s="396"/>
    </row>
    <row r="44" spans="1:4" ht="15" customHeight="1" x14ac:dyDescent="0.2">
      <c r="A44" s="383">
        <v>19</v>
      </c>
      <c r="B44" s="384" t="s">
        <v>384</v>
      </c>
      <c r="C44" s="395"/>
      <c r="D44" s="396"/>
    </row>
    <row r="45" spans="1:4" ht="15" customHeight="1" x14ac:dyDescent="0.2">
      <c r="A45" s="383"/>
      <c r="B45" s="384" t="s">
        <v>383</v>
      </c>
      <c r="C45" s="395"/>
      <c r="D45" s="396"/>
    </row>
    <row r="46" spans="1:4" ht="15" customHeight="1" x14ac:dyDescent="0.2">
      <c r="A46" s="383">
        <v>20</v>
      </c>
      <c r="B46" s="384" t="s">
        <v>385</v>
      </c>
      <c r="C46" s="390"/>
      <c r="D46" s="391"/>
    </row>
    <row r="47" spans="1:4" ht="15" customHeight="1" x14ac:dyDescent="0.2">
      <c r="A47" s="383"/>
      <c r="B47" s="384" t="s">
        <v>383</v>
      </c>
      <c r="C47" s="390"/>
      <c r="D47" s="391"/>
    </row>
    <row r="48" spans="1:4" ht="15" customHeight="1" x14ac:dyDescent="0.2">
      <c r="A48" s="383">
        <v>21</v>
      </c>
      <c r="B48" s="384" t="s">
        <v>386</v>
      </c>
      <c r="C48" s="390"/>
      <c r="D48" s="391"/>
    </row>
    <row r="49" spans="1:4" ht="15" customHeight="1" x14ac:dyDescent="0.2">
      <c r="A49" s="383">
        <v>22</v>
      </c>
      <c r="B49" s="384" t="s">
        <v>387</v>
      </c>
      <c r="C49" s="390"/>
      <c r="D49" s="391"/>
    </row>
    <row r="50" spans="1:4" ht="15" customHeight="1" x14ac:dyDescent="0.2">
      <c r="A50" s="383"/>
      <c r="B50" s="401" t="s">
        <v>379</v>
      </c>
      <c r="C50" s="390"/>
      <c r="D50" s="391"/>
    </row>
    <row r="51" spans="1:4" ht="15" customHeight="1" x14ac:dyDescent="0.2">
      <c r="A51" s="386" t="s">
        <v>388</v>
      </c>
      <c r="B51" s="387" t="s">
        <v>389</v>
      </c>
      <c r="C51" s="402">
        <f>SUM(C42,C46,C48,C49)</f>
        <v>0</v>
      </c>
      <c r="D51" s="403">
        <f>SUM(D42,D46,D48,D49)</f>
        <v>0</v>
      </c>
    </row>
    <row r="52" spans="1:4" ht="15" customHeight="1" x14ac:dyDescent="0.2">
      <c r="A52" s="397" t="s">
        <v>390</v>
      </c>
      <c r="B52" s="398" t="s">
        <v>391</v>
      </c>
      <c r="C52" s="402">
        <f>C41-C51</f>
        <v>318</v>
      </c>
      <c r="D52" s="403">
        <f>D41-D51</f>
        <v>89</v>
      </c>
    </row>
    <row r="53" spans="1:4" ht="15" customHeight="1" x14ac:dyDescent="0.2">
      <c r="A53" s="397" t="s">
        <v>392</v>
      </c>
      <c r="B53" s="398" t="s">
        <v>393</v>
      </c>
      <c r="C53" s="402">
        <f>C30+C52</f>
        <v>-15488</v>
      </c>
      <c r="D53" s="404">
        <f>D30+D52</f>
        <v>-30680</v>
      </c>
    </row>
    <row r="54" spans="1:4" ht="15" customHeight="1" x14ac:dyDescent="0.2">
      <c r="A54" s="386" t="s">
        <v>394</v>
      </c>
      <c r="B54" s="387" t="s">
        <v>395</v>
      </c>
      <c r="C54" s="402"/>
      <c r="D54" s="403"/>
    </row>
    <row r="55" spans="1:4" ht="15" customHeight="1" thickBot="1" x14ac:dyDescent="0.25">
      <c r="A55" s="405" t="s">
        <v>396</v>
      </c>
      <c r="B55" s="406" t="s">
        <v>397</v>
      </c>
      <c r="C55" s="407">
        <f>C53-C54</f>
        <v>-15488</v>
      </c>
      <c r="D55" s="408">
        <f>D53-D54</f>
        <v>-30680</v>
      </c>
    </row>
    <row r="56" spans="1:4" x14ac:dyDescent="0.2">
      <c r="A56" s="409"/>
      <c r="B56" s="410"/>
      <c r="C56" s="411"/>
      <c r="D56" s="411"/>
    </row>
    <row r="57" spans="1:4" x14ac:dyDescent="0.2">
      <c r="A57" s="409"/>
      <c r="B57" s="410"/>
      <c r="C57" s="411"/>
      <c r="D57" s="411"/>
    </row>
    <row r="58" spans="1:4" x14ac:dyDescent="0.2">
      <c r="A58" s="409"/>
      <c r="B58" s="410"/>
      <c r="C58" s="411"/>
      <c r="D58" s="411"/>
    </row>
    <row r="59" spans="1:4" x14ac:dyDescent="0.2">
      <c r="A59" s="412"/>
      <c r="B59" s="413"/>
      <c r="C59" s="414"/>
      <c r="D59" s="414"/>
    </row>
  </sheetData>
  <mergeCells count="3">
    <mergeCell ref="A1:D1"/>
    <mergeCell ref="A2:D2"/>
    <mergeCell ref="A3:D3"/>
  </mergeCells>
  <printOptions horizontalCentered="1"/>
  <pageMargins left="0.27559055118110237" right="0.27559055118110237" top="0.59055118110236227" bottom="0.23622047244094491" header="0.11811023622047245" footer="0.23622047244094491"/>
  <pageSetup paperSize="9" scale="90" orientation="portrait" r:id="rId1"/>
  <headerFooter alignWithMargins="0">
    <oddHeader>&amp;R&amp;8 12. melléklet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workbookViewId="0">
      <selection activeCell="D54" sqref="D54"/>
    </sheetView>
  </sheetViews>
  <sheetFormatPr defaultColWidth="10.28515625" defaultRowHeight="15.75" x14ac:dyDescent="0.25"/>
  <cols>
    <col min="1" max="1" width="4" style="446" customWidth="1"/>
    <col min="2" max="2" width="4.140625" style="446" customWidth="1"/>
    <col min="3" max="3" width="54" style="446" customWidth="1"/>
    <col min="4" max="4" width="11.5703125" style="447" customWidth="1"/>
    <col min="5" max="5" width="11.28515625" style="447" customWidth="1"/>
    <col min="6" max="6" width="10" style="426" hidden="1" customWidth="1"/>
    <col min="7" max="7" width="13.28515625" style="426" hidden="1" customWidth="1"/>
    <col min="8" max="16384" width="10.28515625" style="426"/>
  </cols>
  <sheetData>
    <row r="1" spans="1:7" s="370" customFormat="1" x14ac:dyDescent="0.2">
      <c r="A1" s="679" t="s">
        <v>340</v>
      </c>
      <c r="B1" s="680"/>
      <c r="C1" s="680"/>
      <c r="D1" s="680"/>
      <c r="E1" s="681"/>
      <c r="F1" s="682"/>
      <c r="G1" s="683"/>
    </row>
    <row r="2" spans="1:7" s="370" customFormat="1" x14ac:dyDescent="0.2">
      <c r="A2" s="684" t="s">
        <v>398</v>
      </c>
      <c r="B2" s="685"/>
      <c r="C2" s="685"/>
      <c r="D2" s="685"/>
      <c r="E2" s="686"/>
    </row>
    <row r="3" spans="1:7" s="370" customFormat="1" ht="13.5" customHeight="1" x14ac:dyDescent="0.2">
      <c r="A3" s="687"/>
      <c r="B3" s="688"/>
      <c r="C3" s="689"/>
      <c r="D3" s="690">
        <v>2016</v>
      </c>
      <c r="E3" s="691"/>
    </row>
    <row r="4" spans="1:7" s="370" customFormat="1" ht="31.5" customHeight="1" thickBot="1" x14ac:dyDescent="0.25">
      <c r="A4" s="417"/>
      <c r="B4" s="418"/>
      <c r="C4" s="419" t="s">
        <v>342</v>
      </c>
      <c r="D4" s="420" t="s">
        <v>343</v>
      </c>
      <c r="E4" s="421" t="s">
        <v>344</v>
      </c>
    </row>
    <row r="5" spans="1:7" ht="13.5" customHeight="1" x14ac:dyDescent="0.25">
      <c r="A5" s="422">
        <v>1</v>
      </c>
      <c r="B5" s="423" t="s">
        <v>371</v>
      </c>
      <c r="C5" s="423" t="s">
        <v>399</v>
      </c>
      <c r="D5" s="424">
        <f>SUM(D6,D14,D22)</f>
        <v>389459</v>
      </c>
      <c r="E5" s="425">
        <f>SUM(E6,E14,E22)</f>
        <v>375106</v>
      </c>
    </row>
    <row r="6" spans="1:7" ht="13.5" customHeight="1" x14ac:dyDescent="0.25">
      <c r="A6" s="427">
        <v>2</v>
      </c>
      <c r="B6" s="428" t="s">
        <v>349</v>
      </c>
      <c r="C6" s="428" t="s">
        <v>400</v>
      </c>
      <c r="D6" s="429">
        <f>SUM(D7:D13)</f>
        <v>7811</v>
      </c>
      <c r="E6" s="430">
        <f>SUM(E7:E13)</f>
        <v>2251</v>
      </c>
    </row>
    <row r="7" spans="1:7" ht="13.5" customHeight="1" x14ac:dyDescent="0.25">
      <c r="A7" s="431">
        <f t="shared" ref="A7:A64" si="0">+A6+1</f>
        <v>3</v>
      </c>
      <c r="B7" s="432" t="s">
        <v>401</v>
      </c>
      <c r="C7" s="432" t="s">
        <v>402</v>
      </c>
      <c r="D7" s="433"/>
      <c r="E7" s="434"/>
    </row>
    <row r="8" spans="1:7" ht="13.5" customHeight="1" x14ac:dyDescent="0.25">
      <c r="A8" s="431">
        <f t="shared" si="0"/>
        <v>4</v>
      </c>
      <c r="B8" s="432" t="s">
        <v>403</v>
      </c>
      <c r="C8" s="432" t="s">
        <v>404</v>
      </c>
      <c r="D8" s="433"/>
      <c r="E8" s="434"/>
      <c r="G8" s="435"/>
    </row>
    <row r="9" spans="1:7" ht="13.5" customHeight="1" x14ac:dyDescent="0.25">
      <c r="A9" s="431">
        <f t="shared" si="0"/>
        <v>5</v>
      </c>
      <c r="B9" s="432" t="s">
        <v>405</v>
      </c>
      <c r="C9" s="432" t="s">
        <v>406</v>
      </c>
      <c r="D9" s="433">
        <v>7811</v>
      </c>
      <c r="E9" s="434">
        <v>2251</v>
      </c>
      <c r="G9" s="435"/>
    </row>
    <row r="10" spans="1:7" ht="13.5" customHeight="1" x14ac:dyDescent="0.25">
      <c r="A10" s="431">
        <f t="shared" si="0"/>
        <v>6</v>
      </c>
      <c r="B10" s="432" t="s">
        <v>407</v>
      </c>
      <c r="C10" s="432" t="s">
        <v>408</v>
      </c>
      <c r="D10" s="433"/>
      <c r="E10" s="434"/>
      <c r="G10" s="435"/>
    </row>
    <row r="11" spans="1:7" ht="13.5" customHeight="1" x14ac:dyDescent="0.25">
      <c r="A11" s="431">
        <f t="shared" si="0"/>
        <v>7</v>
      </c>
      <c r="B11" s="432" t="s">
        <v>409</v>
      </c>
      <c r="C11" s="432" t="s">
        <v>410</v>
      </c>
      <c r="D11" s="433"/>
      <c r="E11" s="434"/>
      <c r="G11" s="435"/>
    </row>
    <row r="12" spans="1:7" ht="13.5" customHeight="1" x14ac:dyDescent="0.25">
      <c r="A12" s="431">
        <f t="shared" si="0"/>
        <v>8</v>
      </c>
      <c r="B12" s="432" t="s">
        <v>411</v>
      </c>
      <c r="C12" s="432" t="s">
        <v>412</v>
      </c>
      <c r="D12" s="433"/>
      <c r="E12" s="434"/>
      <c r="G12" s="435"/>
    </row>
    <row r="13" spans="1:7" ht="13.5" customHeight="1" x14ac:dyDescent="0.25">
      <c r="A13" s="431">
        <f t="shared" si="0"/>
        <v>9</v>
      </c>
      <c r="B13" s="432" t="s">
        <v>413</v>
      </c>
      <c r="C13" s="432" t="s">
        <v>414</v>
      </c>
      <c r="D13" s="433"/>
      <c r="E13" s="434"/>
      <c r="G13" s="435"/>
    </row>
    <row r="14" spans="1:7" ht="13.5" customHeight="1" x14ac:dyDescent="0.25">
      <c r="A14" s="427">
        <f t="shared" si="0"/>
        <v>10</v>
      </c>
      <c r="B14" s="428" t="s">
        <v>353</v>
      </c>
      <c r="C14" s="428" t="s">
        <v>415</v>
      </c>
      <c r="D14" s="429">
        <f>SUM(D15:D21)</f>
        <v>381648</v>
      </c>
      <c r="E14" s="430">
        <f>SUM(E15:E21)</f>
        <v>372855</v>
      </c>
      <c r="G14" s="435"/>
    </row>
    <row r="15" spans="1:7" ht="13.5" customHeight="1" x14ac:dyDescent="0.25">
      <c r="A15" s="431">
        <f t="shared" si="0"/>
        <v>11</v>
      </c>
      <c r="B15" s="432" t="s">
        <v>416</v>
      </c>
      <c r="C15" s="432" t="s">
        <v>417</v>
      </c>
      <c r="D15" s="433">
        <v>45394</v>
      </c>
      <c r="E15" s="434">
        <v>44384</v>
      </c>
    </row>
    <row r="16" spans="1:7" ht="13.5" customHeight="1" x14ac:dyDescent="0.25">
      <c r="A16" s="431">
        <f t="shared" si="0"/>
        <v>12</v>
      </c>
      <c r="B16" s="432" t="s">
        <v>418</v>
      </c>
      <c r="C16" s="432" t="s">
        <v>419</v>
      </c>
      <c r="D16" s="433"/>
      <c r="E16" s="434"/>
    </row>
    <row r="17" spans="1:5" ht="13.5" customHeight="1" x14ac:dyDescent="0.25">
      <c r="A17" s="431">
        <f t="shared" si="0"/>
        <v>13</v>
      </c>
      <c r="B17" s="432" t="s">
        <v>420</v>
      </c>
      <c r="C17" s="432" t="s">
        <v>421</v>
      </c>
      <c r="D17" s="433">
        <v>336254</v>
      </c>
      <c r="E17" s="434">
        <v>328471</v>
      </c>
    </row>
    <row r="18" spans="1:5" ht="13.5" customHeight="1" x14ac:dyDescent="0.25">
      <c r="A18" s="431">
        <f t="shared" si="0"/>
        <v>14</v>
      </c>
      <c r="B18" s="432" t="s">
        <v>422</v>
      </c>
      <c r="C18" s="432" t="s">
        <v>423</v>
      </c>
      <c r="D18" s="433"/>
      <c r="E18" s="434"/>
    </row>
    <row r="19" spans="1:5" ht="13.5" customHeight="1" x14ac:dyDescent="0.25">
      <c r="A19" s="431">
        <f t="shared" si="0"/>
        <v>15</v>
      </c>
      <c r="B19" s="432" t="s">
        <v>424</v>
      </c>
      <c r="C19" s="432" t="s">
        <v>425</v>
      </c>
      <c r="D19" s="433"/>
      <c r="E19" s="434"/>
    </row>
    <row r="20" spans="1:5" ht="13.5" customHeight="1" x14ac:dyDescent="0.25">
      <c r="A20" s="431">
        <f t="shared" si="0"/>
        <v>16</v>
      </c>
      <c r="B20" s="432" t="s">
        <v>426</v>
      </c>
      <c r="C20" s="432" t="s">
        <v>427</v>
      </c>
      <c r="D20" s="433"/>
      <c r="E20" s="434"/>
    </row>
    <row r="21" spans="1:5" ht="13.5" customHeight="1" x14ac:dyDescent="0.25">
      <c r="A21" s="431">
        <f t="shared" si="0"/>
        <v>17</v>
      </c>
      <c r="B21" s="432" t="s">
        <v>428</v>
      </c>
      <c r="C21" s="432" t="s">
        <v>429</v>
      </c>
      <c r="D21" s="433"/>
      <c r="E21" s="434"/>
    </row>
    <row r="22" spans="1:5" ht="13.5" customHeight="1" x14ac:dyDescent="0.25">
      <c r="A22" s="427">
        <f t="shared" si="0"/>
        <v>18</v>
      </c>
      <c r="B22" s="428" t="s">
        <v>355</v>
      </c>
      <c r="C22" s="428" t="s">
        <v>430</v>
      </c>
      <c r="D22" s="429">
        <f>SUM(D23:D32)</f>
        <v>0</v>
      </c>
      <c r="E22" s="430">
        <f>SUM(E23:E32)</f>
        <v>0</v>
      </c>
    </row>
    <row r="23" spans="1:5" ht="13.5" customHeight="1" x14ac:dyDescent="0.25">
      <c r="A23" s="431">
        <f t="shared" si="0"/>
        <v>19</v>
      </c>
      <c r="B23" s="432" t="s">
        <v>431</v>
      </c>
      <c r="C23" s="432" t="s">
        <v>432</v>
      </c>
      <c r="D23" s="433"/>
      <c r="E23" s="434"/>
    </row>
    <row r="24" spans="1:5" ht="13.5" customHeight="1" x14ac:dyDescent="0.25">
      <c r="A24" s="431">
        <f t="shared" si="0"/>
        <v>20</v>
      </c>
      <c r="B24" s="432" t="s">
        <v>433</v>
      </c>
      <c r="C24" s="432" t="s">
        <v>434</v>
      </c>
      <c r="D24" s="433"/>
      <c r="E24" s="434"/>
    </row>
    <row r="25" spans="1:5" ht="13.5" customHeight="1" x14ac:dyDescent="0.25">
      <c r="A25" s="431">
        <f t="shared" si="0"/>
        <v>21</v>
      </c>
      <c r="B25" s="432" t="s">
        <v>435</v>
      </c>
      <c r="C25" s="432" t="s">
        <v>436</v>
      </c>
      <c r="D25" s="433"/>
      <c r="E25" s="434"/>
    </row>
    <row r="26" spans="1:5" ht="13.5" customHeight="1" x14ac:dyDescent="0.25">
      <c r="A26" s="431">
        <f t="shared" si="0"/>
        <v>22</v>
      </c>
      <c r="B26" s="432" t="s">
        <v>437</v>
      </c>
      <c r="C26" s="432" t="s">
        <v>438</v>
      </c>
      <c r="D26" s="433"/>
      <c r="E26" s="434"/>
    </row>
    <row r="27" spans="1:5" ht="13.5" customHeight="1" x14ac:dyDescent="0.25">
      <c r="A27" s="431">
        <f t="shared" si="0"/>
        <v>23</v>
      </c>
      <c r="B27" s="432" t="s">
        <v>439</v>
      </c>
      <c r="C27" s="432" t="s">
        <v>440</v>
      </c>
      <c r="D27" s="433"/>
      <c r="E27" s="434"/>
    </row>
    <row r="28" spans="1:5" ht="13.5" customHeight="1" x14ac:dyDescent="0.25">
      <c r="A28" s="431">
        <f t="shared" si="0"/>
        <v>24</v>
      </c>
      <c r="B28" s="436" t="s">
        <v>441</v>
      </c>
      <c r="C28" s="436" t="s">
        <v>442</v>
      </c>
      <c r="D28" s="437"/>
      <c r="E28" s="438"/>
    </row>
    <row r="29" spans="1:5" ht="13.5" customHeight="1" x14ac:dyDescent="0.25">
      <c r="A29" s="431">
        <f t="shared" si="0"/>
        <v>25</v>
      </c>
      <c r="B29" s="432" t="s">
        <v>443</v>
      </c>
      <c r="C29" s="432" t="s">
        <v>444</v>
      </c>
      <c r="D29" s="433"/>
      <c r="E29" s="434"/>
    </row>
    <row r="30" spans="1:5" ht="13.5" customHeight="1" x14ac:dyDescent="0.25">
      <c r="A30" s="431">
        <f t="shared" si="0"/>
        <v>26</v>
      </c>
      <c r="B30" s="432" t="s">
        <v>445</v>
      </c>
      <c r="C30" s="432" t="s">
        <v>446</v>
      </c>
      <c r="D30" s="433"/>
      <c r="E30" s="434"/>
    </row>
    <row r="31" spans="1:5" ht="13.5" customHeight="1" x14ac:dyDescent="0.25">
      <c r="A31" s="427">
        <f t="shared" si="0"/>
        <v>27</v>
      </c>
      <c r="B31" s="432" t="s">
        <v>447</v>
      </c>
      <c r="C31" s="432" t="s">
        <v>448</v>
      </c>
      <c r="D31" s="433"/>
      <c r="E31" s="434"/>
    </row>
    <row r="32" spans="1:5" ht="13.5" customHeight="1" x14ac:dyDescent="0.25">
      <c r="A32" s="431">
        <f t="shared" si="0"/>
        <v>28</v>
      </c>
      <c r="B32" s="432" t="s">
        <v>449</v>
      </c>
      <c r="C32" s="432" t="s">
        <v>450</v>
      </c>
      <c r="D32" s="433"/>
      <c r="E32" s="434"/>
    </row>
    <row r="33" spans="1:5" ht="13.5" customHeight="1" x14ac:dyDescent="0.25">
      <c r="A33" s="422">
        <f t="shared" si="0"/>
        <v>29</v>
      </c>
      <c r="B33" s="423" t="s">
        <v>390</v>
      </c>
      <c r="C33" s="423" t="s">
        <v>451</v>
      </c>
      <c r="D33" s="429">
        <f>SUM(D34,D41,D57)</f>
        <v>38163</v>
      </c>
      <c r="E33" s="430">
        <f>SUM(E34,E41,E57)</f>
        <v>52126</v>
      </c>
    </row>
    <row r="34" spans="1:5" ht="13.5" customHeight="1" x14ac:dyDescent="0.25">
      <c r="A34" s="427">
        <f t="shared" si="0"/>
        <v>30</v>
      </c>
      <c r="B34" s="428" t="s">
        <v>452</v>
      </c>
      <c r="C34" s="428" t="s">
        <v>453</v>
      </c>
      <c r="D34" s="429">
        <f>SUM(D35)</f>
        <v>19219</v>
      </c>
      <c r="E34" s="430">
        <f>SUM(E35)</f>
        <v>12310</v>
      </c>
    </row>
    <row r="35" spans="1:5" ht="13.5" customHeight="1" x14ac:dyDescent="0.25">
      <c r="A35" s="431">
        <f t="shared" si="0"/>
        <v>31</v>
      </c>
      <c r="B35" s="432" t="s">
        <v>401</v>
      </c>
      <c r="C35" s="432" t="s">
        <v>454</v>
      </c>
      <c r="D35" s="433">
        <v>19219</v>
      </c>
      <c r="E35" s="434">
        <v>12310</v>
      </c>
    </row>
    <row r="36" spans="1:5" ht="13.5" customHeight="1" x14ac:dyDescent="0.25">
      <c r="A36" s="431">
        <f t="shared" si="0"/>
        <v>32</v>
      </c>
      <c r="B36" s="432" t="s">
        <v>403</v>
      </c>
      <c r="C36" s="432" t="s">
        <v>455</v>
      </c>
      <c r="D36" s="433"/>
      <c r="E36" s="434"/>
    </row>
    <row r="37" spans="1:5" ht="13.5" customHeight="1" x14ac:dyDescent="0.25">
      <c r="A37" s="431">
        <f t="shared" si="0"/>
        <v>33</v>
      </c>
      <c r="B37" s="432" t="s">
        <v>405</v>
      </c>
      <c r="C37" s="432" t="s">
        <v>456</v>
      </c>
      <c r="D37" s="433"/>
      <c r="E37" s="434"/>
    </row>
    <row r="38" spans="1:5" ht="13.5" customHeight="1" x14ac:dyDescent="0.25">
      <c r="A38" s="431">
        <f t="shared" si="0"/>
        <v>34</v>
      </c>
      <c r="B38" s="432" t="s">
        <v>407</v>
      </c>
      <c r="C38" s="432" t="s">
        <v>457</v>
      </c>
      <c r="D38" s="433"/>
      <c r="E38" s="434"/>
    </row>
    <row r="39" spans="1:5" ht="13.5" customHeight="1" x14ac:dyDescent="0.25">
      <c r="A39" s="431">
        <f t="shared" si="0"/>
        <v>35</v>
      </c>
      <c r="B39" s="432" t="s">
        <v>409</v>
      </c>
      <c r="C39" s="432" t="s">
        <v>458</v>
      </c>
      <c r="D39" s="433"/>
      <c r="E39" s="434"/>
    </row>
    <row r="40" spans="1:5" ht="13.5" customHeight="1" x14ac:dyDescent="0.25">
      <c r="A40" s="431">
        <f t="shared" si="0"/>
        <v>36</v>
      </c>
      <c r="B40" s="432" t="s">
        <v>411</v>
      </c>
      <c r="C40" s="432" t="s">
        <v>459</v>
      </c>
      <c r="D40" s="433"/>
      <c r="E40" s="434"/>
    </row>
    <row r="41" spans="1:5" ht="13.5" customHeight="1" x14ac:dyDescent="0.25">
      <c r="A41" s="431">
        <f t="shared" si="0"/>
        <v>37</v>
      </c>
      <c r="B41" s="428" t="s">
        <v>353</v>
      </c>
      <c r="C41" s="428" t="s">
        <v>460</v>
      </c>
      <c r="D41" s="429">
        <f>SUM(D42:D49)</f>
        <v>8089</v>
      </c>
      <c r="E41" s="430">
        <f>SUM(E42:E49)</f>
        <v>8473</v>
      </c>
    </row>
    <row r="42" spans="1:5" ht="13.5" customHeight="1" x14ac:dyDescent="0.25">
      <c r="A42" s="431">
        <f t="shared" si="0"/>
        <v>38</v>
      </c>
      <c r="B42" s="432" t="s">
        <v>416</v>
      </c>
      <c r="C42" s="432" t="s">
        <v>461</v>
      </c>
      <c r="D42" s="433">
        <v>2987</v>
      </c>
      <c r="E42" s="434">
        <v>3365</v>
      </c>
    </row>
    <row r="43" spans="1:5" ht="13.5" customHeight="1" x14ac:dyDescent="0.25">
      <c r="A43" s="431">
        <f t="shared" si="0"/>
        <v>39</v>
      </c>
      <c r="B43" s="432" t="s">
        <v>418</v>
      </c>
      <c r="C43" s="432" t="s">
        <v>462</v>
      </c>
      <c r="D43" s="433"/>
      <c r="E43" s="434"/>
    </row>
    <row r="44" spans="1:5" ht="13.5" customHeight="1" x14ac:dyDescent="0.25">
      <c r="A44" s="431">
        <f t="shared" si="0"/>
        <v>40</v>
      </c>
      <c r="B44" s="432" t="s">
        <v>420</v>
      </c>
      <c r="C44" s="432" t="s">
        <v>463</v>
      </c>
      <c r="D44" s="433"/>
      <c r="E44" s="434"/>
    </row>
    <row r="45" spans="1:5" ht="13.5" customHeight="1" x14ac:dyDescent="0.25">
      <c r="A45" s="431">
        <f t="shared" si="0"/>
        <v>41</v>
      </c>
      <c r="B45" s="432" t="s">
        <v>422</v>
      </c>
      <c r="C45" s="439" t="s">
        <v>464</v>
      </c>
      <c r="D45" s="433"/>
      <c r="E45" s="434"/>
    </row>
    <row r="46" spans="1:5" ht="13.5" customHeight="1" x14ac:dyDescent="0.25">
      <c r="A46" s="431">
        <f t="shared" si="0"/>
        <v>42</v>
      </c>
      <c r="B46" s="432" t="s">
        <v>424</v>
      </c>
      <c r="C46" s="432" t="s">
        <v>465</v>
      </c>
      <c r="D46" s="433"/>
      <c r="E46" s="434"/>
    </row>
    <row r="47" spans="1:5" ht="13.5" customHeight="1" x14ac:dyDescent="0.25">
      <c r="A47" s="431">
        <f t="shared" si="0"/>
        <v>43</v>
      </c>
      <c r="B47" s="432" t="s">
        <v>426</v>
      </c>
      <c r="C47" s="432" t="s">
        <v>466</v>
      </c>
      <c r="D47" s="433">
        <v>5102</v>
      </c>
      <c r="E47" s="434">
        <f>SUM(4668,440)</f>
        <v>5108</v>
      </c>
    </row>
    <row r="48" spans="1:5" ht="13.5" customHeight="1" x14ac:dyDescent="0.25">
      <c r="A48" s="431">
        <f t="shared" si="0"/>
        <v>44</v>
      </c>
      <c r="B48" s="432" t="s">
        <v>428</v>
      </c>
      <c r="C48" s="432" t="s">
        <v>467</v>
      </c>
      <c r="D48" s="433"/>
      <c r="E48" s="434"/>
    </row>
    <row r="49" spans="1:7" ht="13.5" customHeight="1" x14ac:dyDescent="0.25">
      <c r="A49" s="431">
        <f t="shared" si="0"/>
        <v>45</v>
      </c>
      <c r="B49" s="432" t="s">
        <v>468</v>
      </c>
      <c r="C49" s="432" t="s">
        <v>469</v>
      </c>
      <c r="D49" s="433"/>
      <c r="E49" s="434"/>
      <c r="G49" s="435"/>
    </row>
    <row r="50" spans="1:7" ht="13.5" customHeight="1" x14ac:dyDescent="0.25">
      <c r="A50" s="431">
        <f t="shared" si="0"/>
        <v>46</v>
      </c>
      <c r="B50" s="428" t="s">
        <v>355</v>
      </c>
      <c r="C50" s="428" t="s">
        <v>470</v>
      </c>
      <c r="D50" s="429"/>
      <c r="E50" s="430"/>
    </row>
    <row r="51" spans="1:7" ht="13.5" customHeight="1" x14ac:dyDescent="0.25">
      <c r="A51" s="431">
        <f t="shared" si="0"/>
        <v>47</v>
      </c>
      <c r="B51" s="432" t="s">
        <v>431</v>
      </c>
      <c r="C51" s="432" t="s">
        <v>471</v>
      </c>
      <c r="D51" s="433"/>
      <c r="E51" s="434"/>
    </row>
    <row r="52" spans="1:7" ht="13.5" customHeight="1" x14ac:dyDescent="0.25">
      <c r="A52" s="431">
        <f t="shared" si="0"/>
        <v>48</v>
      </c>
      <c r="B52" s="432" t="s">
        <v>433</v>
      </c>
      <c r="C52" s="432" t="s">
        <v>472</v>
      </c>
      <c r="D52" s="433"/>
      <c r="E52" s="434"/>
    </row>
    <row r="53" spans="1:7" ht="13.5" customHeight="1" x14ac:dyDescent="0.25">
      <c r="A53" s="431">
        <f t="shared" si="0"/>
        <v>49</v>
      </c>
      <c r="B53" s="432" t="s">
        <v>435</v>
      </c>
      <c r="C53" s="432" t="s">
        <v>473</v>
      </c>
      <c r="D53" s="433"/>
      <c r="E53" s="434"/>
    </row>
    <row r="54" spans="1:7" ht="13.5" customHeight="1" x14ac:dyDescent="0.25">
      <c r="A54" s="431">
        <f t="shared" si="0"/>
        <v>50</v>
      </c>
      <c r="B54" s="432" t="s">
        <v>437</v>
      </c>
      <c r="C54" s="432" t="s">
        <v>474</v>
      </c>
      <c r="D54" s="433"/>
      <c r="E54" s="434"/>
    </row>
    <row r="55" spans="1:7" ht="13.5" customHeight="1" x14ac:dyDescent="0.25">
      <c r="A55" s="431">
        <f t="shared" si="0"/>
        <v>51</v>
      </c>
      <c r="B55" s="432" t="s">
        <v>439</v>
      </c>
      <c r="C55" s="432" t="s">
        <v>475</v>
      </c>
      <c r="D55" s="433"/>
      <c r="E55" s="434"/>
    </row>
    <row r="56" spans="1:7" ht="13.5" customHeight="1" x14ac:dyDescent="0.25">
      <c r="A56" s="431">
        <f t="shared" si="0"/>
        <v>52</v>
      </c>
      <c r="B56" s="432" t="s">
        <v>441</v>
      </c>
      <c r="C56" s="432" t="s">
        <v>476</v>
      </c>
      <c r="D56" s="433"/>
      <c r="E56" s="434"/>
    </row>
    <row r="57" spans="1:7" ht="13.5" customHeight="1" x14ac:dyDescent="0.25">
      <c r="A57" s="431">
        <f t="shared" si="0"/>
        <v>53</v>
      </c>
      <c r="B57" s="428" t="s">
        <v>362</v>
      </c>
      <c r="C57" s="428" t="s">
        <v>477</v>
      </c>
      <c r="D57" s="429">
        <f>SUM(D58:D59)</f>
        <v>10855</v>
      </c>
      <c r="E57" s="430">
        <f>SUM(E58:E59)</f>
        <v>31343</v>
      </c>
    </row>
    <row r="58" spans="1:7" ht="13.5" customHeight="1" x14ac:dyDescent="0.25">
      <c r="A58" s="431">
        <f t="shared" si="0"/>
        <v>54</v>
      </c>
      <c r="B58" s="432" t="s">
        <v>478</v>
      </c>
      <c r="C58" s="432" t="s">
        <v>479</v>
      </c>
      <c r="D58" s="433">
        <v>74</v>
      </c>
      <c r="E58" s="434">
        <v>81</v>
      </c>
    </row>
    <row r="59" spans="1:7" ht="13.5" customHeight="1" x14ac:dyDescent="0.25">
      <c r="A59" s="431">
        <f t="shared" si="0"/>
        <v>55</v>
      </c>
      <c r="B59" s="432" t="s">
        <v>480</v>
      </c>
      <c r="C59" s="432" t="s">
        <v>481</v>
      </c>
      <c r="D59" s="433">
        <v>10781</v>
      </c>
      <c r="E59" s="434">
        <v>31262</v>
      </c>
    </row>
    <row r="60" spans="1:7" ht="13.5" customHeight="1" x14ac:dyDescent="0.25">
      <c r="A60" s="422">
        <f t="shared" si="0"/>
        <v>56</v>
      </c>
      <c r="B60" s="423" t="s">
        <v>392</v>
      </c>
      <c r="C60" s="423" t="s">
        <v>482</v>
      </c>
      <c r="D60" s="429">
        <f>SUM(D61:D62)</f>
        <v>178413</v>
      </c>
      <c r="E60" s="430">
        <f>SUM(E61:E62)</f>
        <v>203738</v>
      </c>
    </row>
    <row r="61" spans="1:7" ht="13.5" customHeight="1" x14ac:dyDescent="0.25">
      <c r="A61" s="440">
        <f t="shared" si="0"/>
        <v>57</v>
      </c>
      <c r="B61" s="432" t="s">
        <v>483</v>
      </c>
      <c r="C61" s="432" t="s">
        <v>484</v>
      </c>
      <c r="D61" s="433">
        <v>175428</v>
      </c>
      <c r="E61" s="434">
        <v>200867</v>
      </c>
    </row>
    <row r="62" spans="1:7" ht="13.5" customHeight="1" x14ac:dyDescent="0.25">
      <c r="A62" s="440">
        <f t="shared" si="0"/>
        <v>58</v>
      </c>
      <c r="B62" s="432" t="s">
        <v>485</v>
      </c>
      <c r="C62" s="432" t="s">
        <v>486</v>
      </c>
      <c r="D62" s="433">
        <v>2985</v>
      </c>
      <c r="E62" s="434">
        <v>2871</v>
      </c>
    </row>
    <row r="63" spans="1:7" ht="13.5" customHeight="1" x14ac:dyDescent="0.25">
      <c r="A63" s="440">
        <f t="shared" si="0"/>
        <v>59</v>
      </c>
      <c r="B63" s="432" t="s">
        <v>487</v>
      </c>
      <c r="C63" s="432" t="s">
        <v>488</v>
      </c>
      <c r="D63" s="433"/>
      <c r="E63" s="434"/>
    </row>
    <row r="64" spans="1:7" ht="13.5" customHeight="1" thickBot="1" x14ac:dyDescent="0.3">
      <c r="A64" s="441">
        <f t="shared" si="0"/>
        <v>60</v>
      </c>
      <c r="B64" s="442"/>
      <c r="C64" s="443" t="s">
        <v>489</v>
      </c>
      <c r="D64" s="444">
        <f>SUM(D5,D33,D60)</f>
        <v>606035</v>
      </c>
      <c r="E64" s="445">
        <f>SUM(E5,E33,E60)</f>
        <v>630970</v>
      </c>
    </row>
  </sheetData>
  <mergeCells count="5">
    <mergeCell ref="A1:E1"/>
    <mergeCell ref="F1:G1"/>
    <mergeCell ref="A2:E2"/>
    <mergeCell ref="A3:C3"/>
    <mergeCell ref="D3:E3"/>
  </mergeCells>
  <pageMargins left="0.43307086614173229" right="0.27559055118110237" top="0.11811023622047245" bottom="0.23622047244094491" header="0.19685039370078741" footer="0.23622047244094491"/>
  <pageSetup paperSize="9" scale="94" orientation="portrait" r:id="rId1"/>
  <headerFooter alignWithMargins="0">
    <oddHeader>&amp;R&amp;8 13.a melléklet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zoomScaleNormal="100" workbookViewId="0">
      <selection sqref="A1:E1"/>
    </sheetView>
  </sheetViews>
  <sheetFormatPr defaultColWidth="10.28515625" defaultRowHeight="15.75" x14ac:dyDescent="0.2"/>
  <cols>
    <col min="1" max="1" width="4" style="416" customWidth="1"/>
    <col min="2" max="2" width="4.140625" style="416" customWidth="1"/>
    <col min="3" max="3" width="58.5703125" style="416" customWidth="1"/>
    <col min="4" max="4" width="11.7109375" style="487" customWidth="1"/>
    <col min="5" max="5" width="11.5703125" style="487" customWidth="1"/>
    <col min="6" max="6" width="10.28515625" style="370" customWidth="1"/>
    <col min="7" max="7" width="11.28515625" style="370" bestFit="1" customWidth="1"/>
    <col min="8" max="10" width="10.28515625" style="370" customWidth="1"/>
    <col min="11" max="11" width="11.28515625" style="370" bestFit="1" customWidth="1"/>
    <col min="12" max="16384" width="10.28515625" style="370"/>
  </cols>
  <sheetData>
    <row r="1" spans="1:5" x14ac:dyDescent="0.2">
      <c r="A1" s="679" t="s">
        <v>340</v>
      </c>
      <c r="B1" s="680"/>
      <c r="C1" s="680"/>
      <c r="D1" s="680"/>
      <c r="E1" s="681"/>
    </row>
    <row r="2" spans="1:5" ht="12.75" customHeight="1" x14ac:dyDescent="0.2">
      <c r="A2" s="684" t="s">
        <v>490</v>
      </c>
      <c r="B2" s="685"/>
      <c r="C2" s="685"/>
      <c r="D2" s="685"/>
      <c r="E2" s="686"/>
    </row>
    <row r="3" spans="1:5" ht="13.5" customHeight="1" x14ac:dyDescent="0.2">
      <c r="A3" s="687"/>
      <c r="B3" s="688"/>
      <c r="C3" s="689"/>
      <c r="D3" s="690">
        <v>2016</v>
      </c>
      <c r="E3" s="691"/>
    </row>
    <row r="4" spans="1:5" ht="28.5" customHeight="1" thickBot="1" x14ac:dyDescent="0.25">
      <c r="A4" s="417"/>
      <c r="B4" s="418"/>
      <c r="C4" s="419" t="s">
        <v>342</v>
      </c>
      <c r="D4" s="448" t="s">
        <v>343</v>
      </c>
      <c r="E4" s="449" t="s">
        <v>344</v>
      </c>
    </row>
    <row r="5" spans="1:5" ht="13.5" customHeight="1" x14ac:dyDescent="0.2">
      <c r="A5" s="450">
        <v>61</v>
      </c>
      <c r="B5" s="451" t="s">
        <v>491</v>
      </c>
      <c r="C5" s="451" t="s">
        <v>492</v>
      </c>
      <c r="D5" s="452">
        <f>SUM(D6:D15)</f>
        <v>185736</v>
      </c>
      <c r="E5" s="453">
        <f>SUM(E6:E15)</f>
        <v>155056</v>
      </c>
    </row>
    <row r="6" spans="1:5" ht="12.75" customHeight="1" x14ac:dyDescent="0.2">
      <c r="A6" s="454">
        <f t="shared" ref="A6:A41" si="0">+A5+1</f>
        <v>62</v>
      </c>
      <c r="B6" s="455" t="s">
        <v>349</v>
      </c>
      <c r="C6" s="455" t="s">
        <v>493</v>
      </c>
      <c r="D6" s="456">
        <v>5000</v>
      </c>
      <c r="E6" s="457">
        <v>5000</v>
      </c>
    </row>
    <row r="7" spans="1:5" ht="13.5" customHeight="1" x14ac:dyDescent="0.2">
      <c r="A7" s="458">
        <f t="shared" si="0"/>
        <v>63</v>
      </c>
      <c r="B7" s="401"/>
      <c r="C7" s="401" t="s">
        <v>494</v>
      </c>
      <c r="D7" s="459"/>
      <c r="E7" s="460"/>
    </row>
    <row r="8" spans="1:5" ht="14.25" customHeight="1" x14ac:dyDescent="0.2">
      <c r="A8" s="458">
        <f t="shared" si="0"/>
        <v>64</v>
      </c>
      <c r="B8" s="401" t="s">
        <v>353</v>
      </c>
      <c r="C8" s="401" t="s">
        <v>495</v>
      </c>
      <c r="D8" s="459"/>
      <c r="E8" s="460"/>
    </row>
    <row r="9" spans="1:5" x14ac:dyDescent="0.2">
      <c r="A9" s="458">
        <f t="shared" si="0"/>
        <v>65</v>
      </c>
      <c r="B9" s="401" t="s">
        <v>355</v>
      </c>
      <c r="C9" s="401" t="s">
        <v>496</v>
      </c>
      <c r="D9" s="459">
        <v>122752</v>
      </c>
      <c r="E9" s="460">
        <v>122752</v>
      </c>
    </row>
    <row r="10" spans="1:5" x14ac:dyDescent="0.2">
      <c r="A10" s="458">
        <f t="shared" si="0"/>
        <v>66</v>
      </c>
      <c r="B10" s="401" t="s">
        <v>497</v>
      </c>
      <c r="C10" s="401" t="s">
        <v>498</v>
      </c>
      <c r="D10" s="459">
        <v>73472</v>
      </c>
      <c r="E10" s="460">
        <v>57984</v>
      </c>
    </row>
    <row r="11" spans="1:5" x14ac:dyDescent="0.2">
      <c r="A11" s="458">
        <f t="shared" si="0"/>
        <v>67</v>
      </c>
      <c r="B11" s="401" t="s">
        <v>364</v>
      </c>
      <c r="C11" s="401" t="s">
        <v>499</v>
      </c>
      <c r="D11" s="459"/>
      <c r="E11" s="460"/>
    </row>
    <row r="12" spans="1:5" x14ac:dyDescent="0.2">
      <c r="A12" s="458">
        <f t="shared" si="0"/>
        <v>68</v>
      </c>
      <c r="B12" s="401" t="s">
        <v>366</v>
      </c>
      <c r="C12" s="401" t="s">
        <v>500</v>
      </c>
      <c r="D12" s="459"/>
      <c r="E12" s="460"/>
    </row>
    <row r="13" spans="1:5" x14ac:dyDescent="0.2">
      <c r="A13" s="458">
        <f t="shared" si="0"/>
        <v>69</v>
      </c>
      <c r="B13" s="401" t="s">
        <v>501</v>
      </c>
      <c r="C13" s="401" t="s">
        <v>502</v>
      </c>
      <c r="D13" s="459"/>
      <c r="E13" s="460"/>
    </row>
    <row r="14" spans="1:5" x14ac:dyDescent="0.2">
      <c r="A14" s="458">
        <f t="shared" si="0"/>
        <v>70</v>
      </c>
      <c r="B14" s="401" t="s">
        <v>503</v>
      </c>
      <c r="C14" s="401" t="s">
        <v>504</v>
      </c>
      <c r="D14" s="461"/>
      <c r="E14" s="462"/>
    </row>
    <row r="15" spans="1:5" x14ac:dyDescent="0.2">
      <c r="A15" s="458">
        <f t="shared" si="0"/>
        <v>71</v>
      </c>
      <c r="B15" s="401" t="s">
        <v>368</v>
      </c>
      <c r="C15" s="401" t="s">
        <v>505</v>
      </c>
      <c r="D15" s="459">
        <v>-15488</v>
      </c>
      <c r="E15" s="460">
        <v>-30680</v>
      </c>
    </row>
    <row r="16" spans="1:5" x14ac:dyDescent="0.2">
      <c r="A16" s="450">
        <f t="shared" si="0"/>
        <v>72</v>
      </c>
      <c r="B16" s="451" t="s">
        <v>506</v>
      </c>
      <c r="C16" s="451" t="s">
        <v>507</v>
      </c>
      <c r="D16" s="459"/>
      <c r="E16" s="460"/>
    </row>
    <row r="17" spans="1:5" x14ac:dyDescent="0.2">
      <c r="A17" s="458">
        <f t="shared" si="0"/>
        <v>73</v>
      </c>
      <c r="B17" s="401" t="s">
        <v>508</v>
      </c>
      <c r="C17" s="401" t="s">
        <v>509</v>
      </c>
      <c r="D17" s="459"/>
      <c r="E17" s="460"/>
    </row>
    <row r="18" spans="1:5" x14ac:dyDescent="0.2">
      <c r="A18" s="458">
        <f t="shared" si="0"/>
        <v>74</v>
      </c>
      <c r="B18" s="401" t="s">
        <v>510</v>
      </c>
      <c r="C18" s="401" t="s">
        <v>511</v>
      </c>
      <c r="D18" s="459"/>
      <c r="E18" s="460"/>
    </row>
    <row r="19" spans="1:5" x14ac:dyDescent="0.2">
      <c r="A19" s="458">
        <f t="shared" si="0"/>
        <v>75</v>
      </c>
      <c r="B19" s="401" t="s">
        <v>512</v>
      </c>
      <c r="C19" s="401" t="s">
        <v>513</v>
      </c>
      <c r="D19" s="459"/>
      <c r="E19" s="460"/>
    </row>
    <row r="20" spans="1:5" x14ac:dyDescent="0.2">
      <c r="A20" s="450">
        <f t="shared" si="0"/>
        <v>76</v>
      </c>
      <c r="B20" s="451" t="s">
        <v>514</v>
      </c>
      <c r="C20" s="451" t="s">
        <v>515</v>
      </c>
      <c r="D20" s="388">
        <f>SUM(D21,D26,D36)</f>
        <v>90309</v>
      </c>
      <c r="E20" s="389">
        <f>SUM(E21,E26,E36)</f>
        <v>87276</v>
      </c>
    </row>
    <row r="21" spans="1:5" x14ac:dyDescent="0.2">
      <c r="A21" s="463">
        <f t="shared" si="0"/>
        <v>77</v>
      </c>
      <c r="B21" s="392" t="s">
        <v>349</v>
      </c>
      <c r="C21" s="392" t="s">
        <v>516</v>
      </c>
      <c r="D21" s="459"/>
      <c r="E21" s="460"/>
    </row>
    <row r="22" spans="1:5" x14ac:dyDescent="0.2">
      <c r="A22" s="458">
        <f t="shared" si="0"/>
        <v>78</v>
      </c>
      <c r="B22" s="464" t="s">
        <v>401</v>
      </c>
      <c r="C22" s="464" t="s">
        <v>517</v>
      </c>
      <c r="D22" s="461"/>
      <c r="E22" s="462"/>
    </row>
    <row r="23" spans="1:5" x14ac:dyDescent="0.2">
      <c r="A23" s="463">
        <f t="shared" si="0"/>
        <v>79</v>
      </c>
      <c r="B23" s="464" t="s">
        <v>403</v>
      </c>
      <c r="C23" s="464" t="s">
        <v>518</v>
      </c>
      <c r="D23" s="461"/>
      <c r="E23" s="462"/>
    </row>
    <row r="24" spans="1:5" ht="15.75" customHeight="1" x14ac:dyDescent="0.2">
      <c r="A24" s="458">
        <f t="shared" si="0"/>
        <v>80</v>
      </c>
      <c r="B24" s="464" t="s">
        <v>405</v>
      </c>
      <c r="C24" s="436" t="s">
        <v>519</v>
      </c>
      <c r="D24" s="459"/>
      <c r="E24" s="460"/>
    </row>
    <row r="25" spans="1:5" x14ac:dyDescent="0.2">
      <c r="A25" s="458">
        <f t="shared" si="0"/>
        <v>81</v>
      </c>
      <c r="B25" s="464" t="s">
        <v>407</v>
      </c>
      <c r="C25" s="464" t="s">
        <v>520</v>
      </c>
      <c r="D25" s="459"/>
      <c r="E25" s="460"/>
    </row>
    <row r="26" spans="1:5" x14ac:dyDescent="0.2">
      <c r="A26" s="463">
        <f t="shared" si="0"/>
        <v>82</v>
      </c>
      <c r="B26" s="392" t="s">
        <v>353</v>
      </c>
      <c r="C26" s="392" t="s">
        <v>521</v>
      </c>
      <c r="D26" s="465"/>
      <c r="E26" s="466"/>
    </row>
    <row r="27" spans="1:5" x14ac:dyDescent="0.2">
      <c r="A27" s="458">
        <f t="shared" si="0"/>
        <v>83</v>
      </c>
      <c r="B27" s="464" t="s">
        <v>416</v>
      </c>
      <c r="C27" s="464" t="s">
        <v>522</v>
      </c>
      <c r="D27" s="437"/>
      <c r="E27" s="438"/>
    </row>
    <row r="28" spans="1:5" x14ac:dyDescent="0.2">
      <c r="A28" s="458">
        <f>+A27+1</f>
        <v>84</v>
      </c>
      <c r="B28" s="464" t="s">
        <v>418</v>
      </c>
      <c r="C28" s="464" t="s">
        <v>523</v>
      </c>
      <c r="D28" s="459"/>
      <c r="E28" s="460"/>
    </row>
    <row r="29" spans="1:5" x14ac:dyDescent="0.2">
      <c r="A29" s="458">
        <f t="shared" si="0"/>
        <v>85</v>
      </c>
      <c r="B29" s="464" t="s">
        <v>420</v>
      </c>
      <c r="C29" s="464" t="s">
        <v>524</v>
      </c>
      <c r="D29" s="459"/>
      <c r="E29" s="460"/>
    </row>
    <row r="30" spans="1:5" x14ac:dyDescent="0.2">
      <c r="A30" s="458">
        <f t="shared" si="0"/>
        <v>86</v>
      </c>
      <c r="B30" s="464" t="s">
        <v>422</v>
      </c>
      <c r="C30" s="464" t="s">
        <v>525</v>
      </c>
      <c r="D30" s="459"/>
      <c r="E30" s="460"/>
    </row>
    <row r="31" spans="1:5" x14ac:dyDescent="0.2">
      <c r="A31" s="458">
        <f t="shared" si="0"/>
        <v>87</v>
      </c>
      <c r="B31" s="464" t="s">
        <v>424</v>
      </c>
      <c r="C31" s="464" t="s">
        <v>526</v>
      </c>
      <c r="D31" s="459"/>
      <c r="E31" s="460"/>
    </row>
    <row r="32" spans="1:5" x14ac:dyDescent="0.2">
      <c r="A32" s="458">
        <f t="shared" si="0"/>
        <v>88</v>
      </c>
      <c r="B32" s="464" t="s">
        <v>426</v>
      </c>
      <c r="C32" s="464" t="s">
        <v>527</v>
      </c>
      <c r="D32" s="461"/>
      <c r="E32" s="462"/>
    </row>
    <row r="33" spans="1:11" x14ac:dyDescent="0.2">
      <c r="A33" s="458">
        <f t="shared" si="0"/>
        <v>89</v>
      </c>
      <c r="B33" s="464" t="s">
        <v>428</v>
      </c>
      <c r="C33" s="464" t="s">
        <v>528</v>
      </c>
      <c r="D33" s="461"/>
      <c r="E33" s="462"/>
    </row>
    <row r="34" spans="1:11" ht="15.75" customHeight="1" x14ac:dyDescent="0.2">
      <c r="A34" s="458">
        <f t="shared" si="0"/>
        <v>90</v>
      </c>
      <c r="B34" s="464" t="s">
        <v>468</v>
      </c>
      <c r="C34" s="436" t="s">
        <v>529</v>
      </c>
      <c r="D34" s="461"/>
      <c r="E34" s="462"/>
    </row>
    <row r="35" spans="1:11" x14ac:dyDescent="0.2">
      <c r="A35" s="458">
        <f t="shared" si="0"/>
        <v>91</v>
      </c>
      <c r="B35" s="464" t="s">
        <v>530</v>
      </c>
      <c r="C35" s="464" t="s">
        <v>531</v>
      </c>
      <c r="D35" s="459"/>
      <c r="E35" s="460"/>
    </row>
    <row r="36" spans="1:11" x14ac:dyDescent="0.2">
      <c r="A36" s="463">
        <f t="shared" si="0"/>
        <v>92</v>
      </c>
      <c r="B36" s="392" t="s">
        <v>355</v>
      </c>
      <c r="C36" s="392" t="s">
        <v>532</v>
      </c>
      <c r="D36" s="467">
        <f>SUM(D37:D49)</f>
        <v>90309</v>
      </c>
      <c r="E36" s="468">
        <f>SUM(E37:E49)</f>
        <v>87276</v>
      </c>
    </row>
    <row r="37" spans="1:11" x14ac:dyDescent="0.2">
      <c r="A37" s="458">
        <f t="shared" si="0"/>
        <v>93</v>
      </c>
      <c r="B37" s="464" t="s">
        <v>431</v>
      </c>
      <c r="C37" s="464" t="s">
        <v>533</v>
      </c>
      <c r="D37" s="459"/>
      <c r="E37" s="460"/>
    </row>
    <row r="38" spans="1:11" x14ac:dyDescent="0.2">
      <c r="A38" s="458">
        <f t="shared" si="0"/>
        <v>94</v>
      </c>
      <c r="B38" s="464"/>
      <c r="C38" s="464" t="s">
        <v>534</v>
      </c>
      <c r="D38" s="459"/>
      <c r="E38" s="460"/>
    </row>
    <row r="39" spans="1:11" x14ac:dyDescent="0.2">
      <c r="A39" s="458">
        <f t="shared" si="0"/>
        <v>95</v>
      </c>
      <c r="B39" s="464" t="s">
        <v>433</v>
      </c>
      <c r="C39" s="464" t="s">
        <v>535</v>
      </c>
      <c r="D39" s="459"/>
      <c r="E39" s="460"/>
    </row>
    <row r="40" spans="1:11" x14ac:dyDescent="0.2">
      <c r="A40" s="458">
        <f t="shared" si="0"/>
        <v>96</v>
      </c>
      <c r="B40" s="464" t="s">
        <v>435</v>
      </c>
      <c r="C40" s="464" t="s">
        <v>536</v>
      </c>
      <c r="D40" s="459"/>
      <c r="E40" s="460"/>
    </row>
    <row r="41" spans="1:11" x14ac:dyDescent="0.2">
      <c r="A41" s="458">
        <f t="shared" si="0"/>
        <v>97</v>
      </c>
      <c r="B41" s="464" t="s">
        <v>437</v>
      </c>
      <c r="C41" s="464" t="s">
        <v>537</v>
      </c>
      <c r="D41" s="456">
        <v>39354</v>
      </c>
      <c r="E41" s="457">
        <f>SUM(19432,440)</f>
        <v>19872</v>
      </c>
      <c r="G41" s="385"/>
    </row>
    <row r="42" spans="1:11" x14ac:dyDescent="0.2">
      <c r="A42" s="458"/>
      <c r="B42" s="464"/>
      <c r="C42" s="464" t="s">
        <v>538</v>
      </c>
      <c r="D42" s="456"/>
      <c r="E42" s="457"/>
      <c r="G42" s="385"/>
    </row>
    <row r="43" spans="1:11" x14ac:dyDescent="0.2">
      <c r="A43" s="458">
        <f>+A41+1</f>
        <v>98</v>
      </c>
      <c r="B43" s="464" t="s">
        <v>439</v>
      </c>
      <c r="C43" s="464" t="s">
        <v>539</v>
      </c>
      <c r="D43" s="459"/>
      <c r="E43" s="460"/>
      <c r="G43" s="385"/>
    </row>
    <row r="44" spans="1:11" x14ac:dyDescent="0.2">
      <c r="A44" s="458">
        <f t="shared" ref="A44:A54" si="1">+A43+1</f>
        <v>99</v>
      </c>
      <c r="B44" s="464" t="s">
        <v>441</v>
      </c>
      <c r="C44" s="464" t="s">
        <v>540</v>
      </c>
      <c r="D44" s="459"/>
      <c r="E44" s="460"/>
    </row>
    <row r="45" spans="1:11" x14ac:dyDescent="0.2">
      <c r="A45" s="458">
        <f>+A44+1</f>
        <v>100</v>
      </c>
      <c r="B45" s="464" t="s">
        <v>443</v>
      </c>
      <c r="C45" s="464" t="s">
        <v>541</v>
      </c>
      <c r="D45" s="459"/>
      <c r="E45" s="460"/>
    </row>
    <row r="46" spans="1:11" x14ac:dyDescent="0.2">
      <c r="A46" s="458">
        <f t="shared" si="1"/>
        <v>101</v>
      </c>
      <c r="B46" s="464" t="s">
        <v>445</v>
      </c>
      <c r="C46" s="436" t="s">
        <v>542</v>
      </c>
      <c r="D46" s="459"/>
      <c r="E46" s="460"/>
    </row>
    <row r="47" spans="1:11" ht="13.5" customHeight="1" x14ac:dyDescent="0.2">
      <c r="A47" s="458">
        <f t="shared" si="1"/>
        <v>102</v>
      </c>
      <c r="B47" s="464" t="s">
        <v>447</v>
      </c>
      <c r="C47" s="464" t="s">
        <v>543</v>
      </c>
      <c r="D47" s="459">
        <v>50955</v>
      </c>
      <c r="E47" s="460">
        <v>67404</v>
      </c>
    </row>
    <row r="48" spans="1:11" ht="12.75" customHeight="1" x14ac:dyDescent="0.2">
      <c r="A48" s="458">
        <f t="shared" si="1"/>
        <v>103</v>
      </c>
      <c r="B48" s="464" t="s">
        <v>449</v>
      </c>
      <c r="C48" s="464" t="s">
        <v>544</v>
      </c>
      <c r="D48" s="459"/>
      <c r="E48" s="460"/>
      <c r="K48" s="385"/>
    </row>
    <row r="49" spans="1:8" x14ac:dyDescent="0.2">
      <c r="A49" s="458">
        <f t="shared" si="1"/>
        <v>104</v>
      </c>
      <c r="B49" s="464" t="s">
        <v>545</v>
      </c>
      <c r="C49" s="464" t="s">
        <v>546</v>
      </c>
      <c r="D49" s="459"/>
      <c r="E49" s="460"/>
    </row>
    <row r="50" spans="1:8" x14ac:dyDescent="0.2">
      <c r="A50" s="450">
        <f t="shared" si="1"/>
        <v>105</v>
      </c>
      <c r="B50" s="469" t="s">
        <v>547</v>
      </c>
      <c r="C50" s="451" t="s">
        <v>548</v>
      </c>
      <c r="D50" s="467">
        <f>SUM(D51:D53)</f>
        <v>329990</v>
      </c>
      <c r="E50" s="468">
        <f>SUM(E51:E53)</f>
        <v>388638</v>
      </c>
    </row>
    <row r="51" spans="1:8" x14ac:dyDescent="0.2">
      <c r="A51" s="463">
        <f t="shared" si="1"/>
        <v>106</v>
      </c>
      <c r="B51" s="464" t="s">
        <v>549</v>
      </c>
      <c r="C51" s="464" t="s">
        <v>550</v>
      </c>
      <c r="D51" s="456">
        <v>413</v>
      </c>
      <c r="E51" s="457">
        <v>50957</v>
      </c>
    </row>
    <row r="52" spans="1:8" x14ac:dyDescent="0.2">
      <c r="A52" s="463">
        <f t="shared" si="1"/>
        <v>107</v>
      </c>
      <c r="B52" s="464" t="s">
        <v>551</v>
      </c>
      <c r="C52" s="464" t="s">
        <v>552</v>
      </c>
      <c r="D52" s="459">
        <v>24758</v>
      </c>
      <c r="E52" s="460">
        <v>30070</v>
      </c>
    </row>
    <row r="53" spans="1:8" ht="13.5" customHeight="1" x14ac:dyDescent="0.2">
      <c r="A53" s="463">
        <f t="shared" si="1"/>
        <v>108</v>
      </c>
      <c r="B53" s="464" t="s">
        <v>553</v>
      </c>
      <c r="C53" s="464" t="s">
        <v>554</v>
      </c>
      <c r="D53" s="459">
        <v>304819</v>
      </c>
      <c r="E53" s="460">
        <v>307611</v>
      </c>
    </row>
    <row r="54" spans="1:8" ht="15.75" customHeight="1" thickBot="1" x14ac:dyDescent="0.25">
      <c r="A54" s="470">
        <f t="shared" si="1"/>
        <v>109</v>
      </c>
      <c r="B54" s="471"/>
      <c r="C54" s="472" t="s">
        <v>555</v>
      </c>
      <c r="D54" s="473">
        <f>SUM(D5,D16,D20,D50)</f>
        <v>606035</v>
      </c>
      <c r="E54" s="474">
        <f>SUM(E5,E16,E20,E50)</f>
        <v>630970</v>
      </c>
    </row>
    <row r="55" spans="1:8" hidden="1" x14ac:dyDescent="0.2">
      <c r="A55" s="475"/>
      <c r="B55" s="476"/>
      <c r="C55" s="476"/>
      <c r="D55" s="477"/>
      <c r="E55" s="477"/>
    </row>
    <row r="56" spans="1:8" s="480" customFormat="1" x14ac:dyDescent="0.2">
      <c r="A56" s="478"/>
      <c r="B56" s="410"/>
      <c r="C56" s="410"/>
      <c r="D56" s="479"/>
      <c r="E56" s="479"/>
    </row>
    <row r="57" spans="1:8" s="480" customFormat="1" x14ac:dyDescent="0.2">
      <c r="A57" s="481"/>
      <c r="B57" s="482"/>
      <c r="C57" s="482"/>
      <c r="D57" s="483"/>
      <c r="E57" s="483"/>
      <c r="H57" s="484"/>
    </row>
    <row r="58" spans="1:8" s="480" customFormat="1" x14ac:dyDescent="0.2">
      <c r="A58" s="478"/>
      <c r="B58" s="410"/>
      <c r="C58" s="410"/>
      <c r="D58" s="479"/>
      <c r="E58" s="479"/>
      <c r="H58" s="484"/>
    </row>
    <row r="59" spans="1:8" s="480" customFormat="1" x14ac:dyDescent="0.2">
      <c r="A59" s="478"/>
      <c r="B59" s="410"/>
      <c r="C59" s="410"/>
      <c r="D59" s="479"/>
      <c r="E59" s="479"/>
      <c r="H59" s="484"/>
    </row>
    <row r="60" spans="1:8" s="480" customFormat="1" x14ac:dyDescent="0.2">
      <c r="A60" s="485"/>
      <c r="B60" s="413"/>
      <c r="C60" s="413"/>
      <c r="D60" s="483"/>
      <c r="E60" s="483"/>
      <c r="H60" s="484"/>
    </row>
    <row r="61" spans="1:8" s="480" customFormat="1" x14ac:dyDescent="0.2">
      <c r="A61" s="486"/>
      <c r="B61" s="410"/>
      <c r="C61" s="410"/>
      <c r="D61" s="479"/>
      <c r="E61" s="479"/>
    </row>
    <row r="62" spans="1:8" s="480" customFormat="1" x14ac:dyDescent="0.2">
      <c r="A62" s="486"/>
      <c r="B62" s="410"/>
      <c r="C62" s="410"/>
      <c r="D62" s="479"/>
      <c r="E62" s="479"/>
    </row>
    <row r="63" spans="1:8" s="480" customFormat="1" x14ac:dyDescent="0.2">
      <c r="A63" s="486"/>
      <c r="B63" s="410"/>
      <c r="C63" s="410"/>
      <c r="D63" s="479"/>
      <c r="E63" s="479"/>
    </row>
    <row r="64" spans="1:8" s="480" customFormat="1" x14ac:dyDescent="0.2">
      <c r="A64" s="485"/>
      <c r="B64" s="485"/>
      <c r="C64" s="413"/>
      <c r="D64" s="483"/>
      <c r="E64" s="483"/>
    </row>
  </sheetData>
  <mergeCells count="4">
    <mergeCell ref="A1:E1"/>
    <mergeCell ref="A2:E2"/>
    <mergeCell ref="A3:C3"/>
    <mergeCell ref="D3:E3"/>
  </mergeCells>
  <pageMargins left="0" right="0.27559055118110237" top="0.35433070866141736" bottom="0.23622047244094491" header="0.11811023622047245" footer="0.23622047244094491"/>
  <pageSetup paperSize="9" scale="95" orientation="portrait" r:id="rId1"/>
  <headerFooter alignWithMargins="0">
    <oddHeader>&amp;R&amp;8 13.b melléklet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G2" sqref="G2"/>
    </sheetView>
  </sheetViews>
  <sheetFormatPr defaultRowHeight="15" x14ac:dyDescent="0.25"/>
  <cols>
    <col min="1" max="2" width="9.140625" style="728"/>
    <col min="3" max="3" width="11.85546875" style="728" customWidth="1"/>
    <col min="4" max="4" width="4.140625" style="728" customWidth="1"/>
    <col min="5" max="5" width="17.140625" style="728" customWidth="1"/>
    <col min="6" max="6" width="15.140625" style="728" customWidth="1"/>
    <col min="7" max="7" width="12.28515625" style="728" customWidth="1"/>
    <col min="8" max="258" width="9.140625" style="728"/>
    <col min="259" max="259" width="11.85546875" style="728" customWidth="1"/>
    <col min="260" max="260" width="4.140625" style="728" customWidth="1"/>
    <col min="261" max="261" width="17.140625" style="728" customWidth="1"/>
    <col min="262" max="262" width="15.140625" style="728" customWidth="1"/>
    <col min="263" max="263" width="12.28515625" style="728" customWidth="1"/>
    <col min="264" max="514" width="9.140625" style="728"/>
    <col min="515" max="515" width="11.85546875" style="728" customWidth="1"/>
    <col min="516" max="516" width="4.140625" style="728" customWidth="1"/>
    <col min="517" max="517" width="17.140625" style="728" customWidth="1"/>
    <col min="518" max="518" width="15.140625" style="728" customWidth="1"/>
    <col min="519" max="519" width="12.28515625" style="728" customWidth="1"/>
    <col min="520" max="770" width="9.140625" style="728"/>
    <col min="771" max="771" width="11.85546875" style="728" customWidth="1"/>
    <col min="772" max="772" width="4.140625" style="728" customWidth="1"/>
    <col min="773" max="773" width="17.140625" style="728" customWidth="1"/>
    <col min="774" max="774" width="15.140625" style="728" customWidth="1"/>
    <col min="775" max="775" width="12.28515625" style="728" customWidth="1"/>
    <col min="776" max="1026" width="9.140625" style="728"/>
    <col min="1027" max="1027" width="11.85546875" style="728" customWidth="1"/>
    <col min="1028" max="1028" width="4.140625" style="728" customWidth="1"/>
    <col min="1029" max="1029" width="17.140625" style="728" customWidth="1"/>
    <col min="1030" max="1030" width="15.140625" style="728" customWidth="1"/>
    <col min="1031" max="1031" width="12.28515625" style="728" customWidth="1"/>
    <col min="1032" max="1282" width="9.140625" style="728"/>
    <col min="1283" max="1283" width="11.85546875" style="728" customWidth="1"/>
    <col min="1284" max="1284" width="4.140625" style="728" customWidth="1"/>
    <col min="1285" max="1285" width="17.140625" style="728" customWidth="1"/>
    <col min="1286" max="1286" width="15.140625" style="728" customWidth="1"/>
    <col min="1287" max="1287" width="12.28515625" style="728" customWidth="1"/>
    <col min="1288" max="1538" width="9.140625" style="728"/>
    <col min="1539" max="1539" width="11.85546875" style="728" customWidth="1"/>
    <col min="1540" max="1540" width="4.140625" style="728" customWidth="1"/>
    <col min="1541" max="1541" width="17.140625" style="728" customWidth="1"/>
    <col min="1542" max="1542" width="15.140625" style="728" customWidth="1"/>
    <col min="1543" max="1543" width="12.28515625" style="728" customWidth="1"/>
    <col min="1544" max="1794" width="9.140625" style="728"/>
    <col min="1795" max="1795" width="11.85546875" style="728" customWidth="1"/>
    <col min="1796" max="1796" width="4.140625" style="728" customWidth="1"/>
    <col min="1797" max="1797" width="17.140625" style="728" customWidth="1"/>
    <col min="1798" max="1798" width="15.140625" style="728" customWidth="1"/>
    <col min="1799" max="1799" width="12.28515625" style="728" customWidth="1"/>
    <col min="1800" max="2050" width="9.140625" style="728"/>
    <col min="2051" max="2051" width="11.85546875" style="728" customWidth="1"/>
    <col min="2052" max="2052" width="4.140625" style="728" customWidth="1"/>
    <col min="2053" max="2053" width="17.140625" style="728" customWidth="1"/>
    <col min="2054" max="2054" width="15.140625" style="728" customWidth="1"/>
    <col min="2055" max="2055" width="12.28515625" style="728" customWidth="1"/>
    <col min="2056" max="2306" width="9.140625" style="728"/>
    <col min="2307" max="2307" width="11.85546875" style="728" customWidth="1"/>
    <col min="2308" max="2308" width="4.140625" style="728" customWidth="1"/>
    <col min="2309" max="2309" width="17.140625" style="728" customWidth="1"/>
    <col min="2310" max="2310" width="15.140625" style="728" customWidth="1"/>
    <col min="2311" max="2311" width="12.28515625" style="728" customWidth="1"/>
    <col min="2312" max="2562" width="9.140625" style="728"/>
    <col min="2563" max="2563" width="11.85546875" style="728" customWidth="1"/>
    <col min="2564" max="2564" width="4.140625" style="728" customWidth="1"/>
    <col min="2565" max="2565" width="17.140625" style="728" customWidth="1"/>
    <col min="2566" max="2566" width="15.140625" style="728" customWidth="1"/>
    <col min="2567" max="2567" width="12.28515625" style="728" customWidth="1"/>
    <col min="2568" max="2818" width="9.140625" style="728"/>
    <col min="2819" max="2819" width="11.85546875" style="728" customWidth="1"/>
    <col min="2820" max="2820" width="4.140625" style="728" customWidth="1"/>
    <col min="2821" max="2821" width="17.140625" style="728" customWidth="1"/>
    <col min="2822" max="2822" width="15.140625" style="728" customWidth="1"/>
    <col min="2823" max="2823" width="12.28515625" style="728" customWidth="1"/>
    <col min="2824" max="3074" width="9.140625" style="728"/>
    <col min="3075" max="3075" width="11.85546875" style="728" customWidth="1"/>
    <col min="3076" max="3076" width="4.140625" style="728" customWidth="1"/>
    <col min="3077" max="3077" width="17.140625" style="728" customWidth="1"/>
    <col min="3078" max="3078" width="15.140625" style="728" customWidth="1"/>
    <col min="3079" max="3079" width="12.28515625" style="728" customWidth="1"/>
    <col min="3080" max="3330" width="9.140625" style="728"/>
    <col min="3331" max="3331" width="11.85546875" style="728" customWidth="1"/>
    <col min="3332" max="3332" width="4.140625" style="728" customWidth="1"/>
    <col min="3333" max="3333" width="17.140625" style="728" customWidth="1"/>
    <col min="3334" max="3334" width="15.140625" style="728" customWidth="1"/>
    <col min="3335" max="3335" width="12.28515625" style="728" customWidth="1"/>
    <col min="3336" max="3586" width="9.140625" style="728"/>
    <col min="3587" max="3587" width="11.85546875" style="728" customWidth="1"/>
    <col min="3588" max="3588" width="4.140625" style="728" customWidth="1"/>
    <col min="3589" max="3589" width="17.140625" style="728" customWidth="1"/>
    <col min="3590" max="3590" width="15.140625" style="728" customWidth="1"/>
    <col min="3591" max="3591" width="12.28515625" style="728" customWidth="1"/>
    <col min="3592" max="3842" width="9.140625" style="728"/>
    <col min="3843" max="3843" width="11.85546875" style="728" customWidth="1"/>
    <col min="3844" max="3844" width="4.140625" style="728" customWidth="1"/>
    <col min="3845" max="3845" width="17.140625" style="728" customWidth="1"/>
    <col min="3846" max="3846" width="15.140625" style="728" customWidth="1"/>
    <col min="3847" max="3847" width="12.28515625" style="728" customWidth="1"/>
    <col min="3848" max="4098" width="9.140625" style="728"/>
    <col min="4099" max="4099" width="11.85546875" style="728" customWidth="1"/>
    <col min="4100" max="4100" width="4.140625" style="728" customWidth="1"/>
    <col min="4101" max="4101" width="17.140625" style="728" customWidth="1"/>
    <col min="4102" max="4102" width="15.140625" style="728" customWidth="1"/>
    <col min="4103" max="4103" width="12.28515625" style="728" customWidth="1"/>
    <col min="4104" max="4354" width="9.140625" style="728"/>
    <col min="4355" max="4355" width="11.85546875" style="728" customWidth="1"/>
    <col min="4356" max="4356" width="4.140625" style="728" customWidth="1"/>
    <col min="4357" max="4357" width="17.140625" style="728" customWidth="1"/>
    <col min="4358" max="4358" width="15.140625" style="728" customWidth="1"/>
    <col min="4359" max="4359" width="12.28515625" style="728" customWidth="1"/>
    <col min="4360" max="4610" width="9.140625" style="728"/>
    <col min="4611" max="4611" width="11.85546875" style="728" customWidth="1"/>
    <col min="4612" max="4612" width="4.140625" style="728" customWidth="1"/>
    <col min="4613" max="4613" width="17.140625" style="728" customWidth="1"/>
    <col min="4614" max="4614" width="15.140625" style="728" customWidth="1"/>
    <col min="4615" max="4615" width="12.28515625" style="728" customWidth="1"/>
    <col min="4616" max="4866" width="9.140625" style="728"/>
    <col min="4867" max="4867" width="11.85546875" style="728" customWidth="1"/>
    <col min="4868" max="4868" width="4.140625" style="728" customWidth="1"/>
    <col min="4869" max="4869" width="17.140625" style="728" customWidth="1"/>
    <col min="4870" max="4870" width="15.140625" style="728" customWidth="1"/>
    <col min="4871" max="4871" width="12.28515625" style="728" customWidth="1"/>
    <col min="4872" max="5122" width="9.140625" style="728"/>
    <col min="5123" max="5123" width="11.85546875" style="728" customWidth="1"/>
    <col min="5124" max="5124" width="4.140625" style="728" customWidth="1"/>
    <col min="5125" max="5125" width="17.140625" style="728" customWidth="1"/>
    <col min="5126" max="5126" width="15.140625" style="728" customWidth="1"/>
    <col min="5127" max="5127" width="12.28515625" style="728" customWidth="1"/>
    <col min="5128" max="5378" width="9.140625" style="728"/>
    <col min="5379" max="5379" width="11.85546875" style="728" customWidth="1"/>
    <col min="5380" max="5380" width="4.140625" style="728" customWidth="1"/>
    <col min="5381" max="5381" width="17.140625" style="728" customWidth="1"/>
    <col min="5382" max="5382" width="15.140625" style="728" customWidth="1"/>
    <col min="5383" max="5383" width="12.28515625" style="728" customWidth="1"/>
    <col min="5384" max="5634" width="9.140625" style="728"/>
    <col min="5635" max="5635" width="11.85546875" style="728" customWidth="1"/>
    <col min="5636" max="5636" width="4.140625" style="728" customWidth="1"/>
    <col min="5637" max="5637" width="17.140625" style="728" customWidth="1"/>
    <col min="5638" max="5638" width="15.140625" style="728" customWidth="1"/>
    <col min="5639" max="5639" width="12.28515625" style="728" customWidth="1"/>
    <col min="5640" max="5890" width="9.140625" style="728"/>
    <col min="5891" max="5891" width="11.85546875" style="728" customWidth="1"/>
    <col min="5892" max="5892" width="4.140625" style="728" customWidth="1"/>
    <col min="5893" max="5893" width="17.140625" style="728" customWidth="1"/>
    <col min="5894" max="5894" width="15.140625" style="728" customWidth="1"/>
    <col min="5895" max="5895" width="12.28515625" style="728" customWidth="1"/>
    <col min="5896" max="6146" width="9.140625" style="728"/>
    <col min="6147" max="6147" width="11.85546875" style="728" customWidth="1"/>
    <col min="6148" max="6148" width="4.140625" style="728" customWidth="1"/>
    <col min="6149" max="6149" width="17.140625" style="728" customWidth="1"/>
    <col min="6150" max="6150" width="15.140625" style="728" customWidth="1"/>
    <col min="6151" max="6151" width="12.28515625" style="728" customWidth="1"/>
    <col min="6152" max="6402" width="9.140625" style="728"/>
    <col min="6403" max="6403" width="11.85546875" style="728" customWidth="1"/>
    <col min="6404" max="6404" width="4.140625" style="728" customWidth="1"/>
    <col min="6405" max="6405" width="17.140625" style="728" customWidth="1"/>
    <col min="6406" max="6406" width="15.140625" style="728" customWidth="1"/>
    <col min="6407" max="6407" width="12.28515625" style="728" customWidth="1"/>
    <col min="6408" max="6658" width="9.140625" style="728"/>
    <col min="6659" max="6659" width="11.85546875" style="728" customWidth="1"/>
    <col min="6660" max="6660" width="4.140625" style="728" customWidth="1"/>
    <col min="6661" max="6661" width="17.140625" style="728" customWidth="1"/>
    <col min="6662" max="6662" width="15.140625" style="728" customWidth="1"/>
    <col min="6663" max="6663" width="12.28515625" style="728" customWidth="1"/>
    <col min="6664" max="6914" width="9.140625" style="728"/>
    <col min="6915" max="6915" width="11.85546875" style="728" customWidth="1"/>
    <col min="6916" max="6916" width="4.140625" style="728" customWidth="1"/>
    <col min="6917" max="6917" width="17.140625" style="728" customWidth="1"/>
    <col min="6918" max="6918" width="15.140625" style="728" customWidth="1"/>
    <col min="6919" max="6919" width="12.28515625" style="728" customWidth="1"/>
    <col min="6920" max="7170" width="9.140625" style="728"/>
    <col min="7171" max="7171" width="11.85546875" style="728" customWidth="1"/>
    <col min="7172" max="7172" width="4.140625" style="728" customWidth="1"/>
    <col min="7173" max="7173" width="17.140625" style="728" customWidth="1"/>
    <col min="7174" max="7174" width="15.140625" style="728" customWidth="1"/>
    <col min="7175" max="7175" width="12.28515625" style="728" customWidth="1"/>
    <col min="7176" max="7426" width="9.140625" style="728"/>
    <col min="7427" max="7427" width="11.85546875" style="728" customWidth="1"/>
    <col min="7428" max="7428" width="4.140625" style="728" customWidth="1"/>
    <col min="7429" max="7429" width="17.140625" style="728" customWidth="1"/>
    <col min="7430" max="7430" width="15.140625" style="728" customWidth="1"/>
    <col min="7431" max="7431" width="12.28515625" style="728" customWidth="1"/>
    <col min="7432" max="7682" width="9.140625" style="728"/>
    <col min="7683" max="7683" width="11.85546875" style="728" customWidth="1"/>
    <col min="7684" max="7684" width="4.140625" style="728" customWidth="1"/>
    <col min="7685" max="7685" width="17.140625" style="728" customWidth="1"/>
    <col min="7686" max="7686" width="15.140625" style="728" customWidth="1"/>
    <col min="7687" max="7687" width="12.28515625" style="728" customWidth="1"/>
    <col min="7688" max="7938" width="9.140625" style="728"/>
    <col min="7939" max="7939" width="11.85546875" style="728" customWidth="1"/>
    <col min="7940" max="7940" width="4.140625" style="728" customWidth="1"/>
    <col min="7941" max="7941" width="17.140625" style="728" customWidth="1"/>
    <col min="7942" max="7942" width="15.140625" style="728" customWidth="1"/>
    <col min="7943" max="7943" width="12.28515625" style="728" customWidth="1"/>
    <col min="7944" max="8194" width="9.140625" style="728"/>
    <col min="8195" max="8195" width="11.85546875" style="728" customWidth="1"/>
    <col min="8196" max="8196" width="4.140625" style="728" customWidth="1"/>
    <col min="8197" max="8197" width="17.140625" style="728" customWidth="1"/>
    <col min="8198" max="8198" width="15.140625" style="728" customWidth="1"/>
    <col min="8199" max="8199" width="12.28515625" style="728" customWidth="1"/>
    <col min="8200" max="8450" width="9.140625" style="728"/>
    <col min="8451" max="8451" width="11.85546875" style="728" customWidth="1"/>
    <col min="8452" max="8452" width="4.140625" style="728" customWidth="1"/>
    <col min="8453" max="8453" width="17.140625" style="728" customWidth="1"/>
    <col min="8454" max="8454" width="15.140625" style="728" customWidth="1"/>
    <col min="8455" max="8455" width="12.28515625" style="728" customWidth="1"/>
    <col min="8456" max="8706" width="9.140625" style="728"/>
    <col min="8707" max="8707" width="11.85546875" style="728" customWidth="1"/>
    <col min="8708" max="8708" width="4.140625" style="728" customWidth="1"/>
    <col min="8709" max="8709" width="17.140625" style="728" customWidth="1"/>
    <col min="8710" max="8710" width="15.140625" style="728" customWidth="1"/>
    <col min="8711" max="8711" width="12.28515625" style="728" customWidth="1"/>
    <col min="8712" max="8962" width="9.140625" style="728"/>
    <col min="8963" max="8963" width="11.85546875" style="728" customWidth="1"/>
    <col min="8964" max="8964" width="4.140625" style="728" customWidth="1"/>
    <col min="8965" max="8965" width="17.140625" style="728" customWidth="1"/>
    <col min="8966" max="8966" width="15.140625" style="728" customWidth="1"/>
    <col min="8967" max="8967" width="12.28515625" style="728" customWidth="1"/>
    <col min="8968" max="9218" width="9.140625" style="728"/>
    <col min="9219" max="9219" width="11.85546875" style="728" customWidth="1"/>
    <col min="9220" max="9220" width="4.140625" style="728" customWidth="1"/>
    <col min="9221" max="9221" width="17.140625" style="728" customWidth="1"/>
    <col min="9222" max="9222" width="15.140625" style="728" customWidth="1"/>
    <col min="9223" max="9223" width="12.28515625" style="728" customWidth="1"/>
    <col min="9224" max="9474" width="9.140625" style="728"/>
    <col min="9475" max="9475" width="11.85546875" style="728" customWidth="1"/>
    <col min="9476" max="9476" width="4.140625" style="728" customWidth="1"/>
    <col min="9477" max="9477" width="17.140625" style="728" customWidth="1"/>
    <col min="9478" max="9478" width="15.140625" style="728" customWidth="1"/>
    <col min="9479" max="9479" width="12.28515625" style="728" customWidth="1"/>
    <col min="9480" max="9730" width="9.140625" style="728"/>
    <col min="9731" max="9731" width="11.85546875" style="728" customWidth="1"/>
    <col min="9732" max="9732" width="4.140625" style="728" customWidth="1"/>
    <col min="9733" max="9733" width="17.140625" style="728" customWidth="1"/>
    <col min="9734" max="9734" width="15.140625" style="728" customWidth="1"/>
    <col min="9735" max="9735" width="12.28515625" style="728" customWidth="1"/>
    <col min="9736" max="9986" width="9.140625" style="728"/>
    <col min="9987" max="9987" width="11.85546875" style="728" customWidth="1"/>
    <col min="9988" max="9988" width="4.140625" style="728" customWidth="1"/>
    <col min="9989" max="9989" width="17.140625" style="728" customWidth="1"/>
    <col min="9990" max="9990" width="15.140625" style="728" customWidth="1"/>
    <col min="9991" max="9991" width="12.28515625" style="728" customWidth="1"/>
    <col min="9992" max="10242" width="9.140625" style="728"/>
    <col min="10243" max="10243" width="11.85546875" style="728" customWidth="1"/>
    <col min="10244" max="10244" width="4.140625" style="728" customWidth="1"/>
    <col min="10245" max="10245" width="17.140625" style="728" customWidth="1"/>
    <col min="10246" max="10246" width="15.140625" style="728" customWidth="1"/>
    <col min="10247" max="10247" width="12.28515625" style="728" customWidth="1"/>
    <col min="10248" max="10498" width="9.140625" style="728"/>
    <col min="10499" max="10499" width="11.85546875" style="728" customWidth="1"/>
    <col min="10500" max="10500" width="4.140625" style="728" customWidth="1"/>
    <col min="10501" max="10501" width="17.140625" style="728" customWidth="1"/>
    <col min="10502" max="10502" width="15.140625" style="728" customWidth="1"/>
    <col min="10503" max="10503" width="12.28515625" style="728" customWidth="1"/>
    <col min="10504" max="10754" width="9.140625" style="728"/>
    <col min="10755" max="10755" width="11.85546875" style="728" customWidth="1"/>
    <col min="10756" max="10756" width="4.140625" style="728" customWidth="1"/>
    <col min="10757" max="10757" width="17.140625" style="728" customWidth="1"/>
    <col min="10758" max="10758" width="15.140625" style="728" customWidth="1"/>
    <col min="10759" max="10759" width="12.28515625" style="728" customWidth="1"/>
    <col min="10760" max="11010" width="9.140625" style="728"/>
    <col min="11011" max="11011" width="11.85546875" style="728" customWidth="1"/>
    <col min="11012" max="11012" width="4.140625" style="728" customWidth="1"/>
    <col min="11013" max="11013" width="17.140625" style="728" customWidth="1"/>
    <col min="11014" max="11014" width="15.140625" style="728" customWidth="1"/>
    <col min="11015" max="11015" width="12.28515625" style="728" customWidth="1"/>
    <col min="11016" max="11266" width="9.140625" style="728"/>
    <col min="11267" max="11267" width="11.85546875" style="728" customWidth="1"/>
    <col min="11268" max="11268" width="4.140625" style="728" customWidth="1"/>
    <col min="11269" max="11269" width="17.140625" style="728" customWidth="1"/>
    <col min="11270" max="11270" width="15.140625" style="728" customWidth="1"/>
    <col min="11271" max="11271" width="12.28515625" style="728" customWidth="1"/>
    <col min="11272" max="11522" width="9.140625" style="728"/>
    <col min="11523" max="11523" width="11.85546875" style="728" customWidth="1"/>
    <col min="11524" max="11524" width="4.140625" style="728" customWidth="1"/>
    <col min="11525" max="11525" width="17.140625" style="728" customWidth="1"/>
    <col min="11526" max="11526" width="15.140625" style="728" customWidth="1"/>
    <col min="11527" max="11527" width="12.28515625" style="728" customWidth="1"/>
    <col min="11528" max="11778" width="9.140625" style="728"/>
    <col min="11779" max="11779" width="11.85546875" style="728" customWidth="1"/>
    <col min="11780" max="11780" width="4.140625" style="728" customWidth="1"/>
    <col min="11781" max="11781" width="17.140625" style="728" customWidth="1"/>
    <col min="11782" max="11782" width="15.140625" style="728" customWidth="1"/>
    <col min="11783" max="11783" width="12.28515625" style="728" customWidth="1"/>
    <col min="11784" max="12034" width="9.140625" style="728"/>
    <col min="12035" max="12035" width="11.85546875" style="728" customWidth="1"/>
    <col min="12036" max="12036" width="4.140625" style="728" customWidth="1"/>
    <col min="12037" max="12037" width="17.140625" style="728" customWidth="1"/>
    <col min="12038" max="12038" width="15.140625" style="728" customWidth="1"/>
    <col min="12039" max="12039" width="12.28515625" style="728" customWidth="1"/>
    <col min="12040" max="12290" width="9.140625" style="728"/>
    <col min="12291" max="12291" width="11.85546875" style="728" customWidth="1"/>
    <col min="12292" max="12292" width="4.140625" style="728" customWidth="1"/>
    <col min="12293" max="12293" width="17.140625" style="728" customWidth="1"/>
    <col min="12294" max="12294" width="15.140625" style="728" customWidth="1"/>
    <col min="12295" max="12295" width="12.28515625" style="728" customWidth="1"/>
    <col min="12296" max="12546" width="9.140625" style="728"/>
    <col min="12547" max="12547" width="11.85546875" style="728" customWidth="1"/>
    <col min="12548" max="12548" width="4.140625" style="728" customWidth="1"/>
    <col min="12549" max="12549" width="17.140625" style="728" customWidth="1"/>
    <col min="12550" max="12550" width="15.140625" style="728" customWidth="1"/>
    <col min="12551" max="12551" width="12.28515625" style="728" customWidth="1"/>
    <col min="12552" max="12802" width="9.140625" style="728"/>
    <col min="12803" max="12803" width="11.85546875" style="728" customWidth="1"/>
    <col min="12804" max="12804" width="4.140625" style="728" customWidth="1"/>
    <col min="12805" max="12805" width="17.140625" style="728" customWidth="1"/>
    <col min="12806" max="12806" width="15.140625" style="728" customWidth="1"/>
    <col min="12807" max="12807" width="12.28515625" style="728" customWidth="1"/>
    <col min="12808" max="13058" width="9.140625" style="728"/>
    <col min="13059" max="13059" width="11.85546875" style="728" customWidth="1"/>
    <col min="13060" max="13060" width="4.140625" style="728" customWidth="1"/>
    <col min="13061" max="13061" width="17.140625" style="728" customWidth="1"/>
    <col min="13062" max="13062" width="15.140625" style="728" customWidth="1"/>
    <col min="13063" max="13063" width="12.28515625" style="728" customWidth="1"/>
    <col min="13064" max="13314" width="9.140625" style="728"/>
    <col min="13315" max="13315" width="11.85546875" style="728" customWidth="1"/>
    <col min="13316" max="13316" width="4.140625" style="728" customWidth="1"/>
    <col min="13317" max="13317" width="17.140625" style="728" customWidth="1"/>
    <col min="13318" max="13318" width="15.140625" style="728" customWidth="1"/>
    <col min="13319" max="13319" width="12.28515625" style="728" customWidth="1"/>
    <col min="13320" max="13570" width="9.140625" style="728"/>
    <col min="13571" max="13571" width="11.85546875" style="728" customWidth="1"/>
    <col min="13572" max="13572" width="4.140625" style="728" customWidth="1"/>
    <col min="13573" max="13573" width="17.140625" style="728" customWidth="1"/>
    <col min="13574" max="13574" width="15.140625" style="728" customWidth="1"/>
    <col min="13575" max="13575" width="12.28515625" style="728" customWidth="1"/>
    <col min="13576" max="13826" width="9.140625" style="728"/>
    <col min="13827" max="13827" width="11.85546875" style="728" customWidth="1"/>
    <col min="13828" max="13828" width="4.140625" style="728" customWidth="1"/>
    <col min="13829" max="13829" width="17.140625" style="728" customWidth="1"/>
    <col min="13830" max="13830" width="15.140625" style="728" customWidth="1"/>
    <col min="13831" max="13831" width="12.28515625" style="728" customWidth="1"/>
    <col min="13832" max="14082" width="9.140625" style="728"/>
    <col min="14083" max="14083" width="11.85546875" style="728" customWidth="1"/>
    <col min="14084" max="14084" width="4.140625" style="728" customWidth="1"/>
    <col min="14085" max="14085" width="17.140625" style="728" customWidth="1"/>
    <col min="14086" max="14086" width="15.140625" style="728" customWidth="1"/>
    <col min="14087" max="14087" width="12.28515625" style="728" customWidth="1"/>
    <col min="14088" max="14338" width="9.140625" style="728"/>
    <col min="14339" max="14339" width="11.85546875" style="728" customWidth="1"/>
    <col min="14340" max="14340" width="4.140625" style="728" customWidth="1"/>
    <col min="14341" max="14341" width="17.140625" style="728" customWidth="1"/>
    <col min="14342" max="14342" width="15.140625" style="728" customWidth="1"/>
    <col min="14343" max="14343" width="12.28515625" style="728" customWidth="1"/>
    <col min="14344" max="14594" width="9.140625" style="728"/>
    <col min="14595" max="14595" width="11.85546875" style="728" customWidth="1"/>
    <col min="14596" max="14596" width="4.140625" style="728" customWidth="1"/>
    <col min="14597" max="14597" width="17.140625" style="728" customWidth="1"/>
    <col min="14598" max="14598" width="15.140625" style="728" customWidth="1"/>
    <col min="14599" max="14599" width="12.28515625" style="728" customWidth="1"/>
    <col min="14600" max="14850" width="9.140625" style="728"/>
    <col min="14851" max="14851" width="11.85546875" style="728" customWidth="1"/>
    <col min="14852" max="14852" width="4.140625" style="728" customWidth="1"/>
    <col min="14853" max="14853" width="17.140625" style="728" customWidth="1"/>
    <col min="14854" max="14854" width="15.140625" style="728" customWidth="1"/>
    <col min="14855" max="14855" width="12.28515625" style="728" customWidth="1"/>
    <col min="14856" max="15106" width="9.140625" style="728"/>
    <col min="15107" max="15107" width="11.85546875" style="728" customWidth="1"/>
    <col min="15108" max="15108" width="4.140625" style="728" customWidth="1"/>
    <col min="15109" max="15109" width="17.140625" style="728" customWidth="1"/>
    <col min="15110" max="15110" width="15.140625" style="728" customWidth="1"/>
    <col min="15111" max="15111" width="12.28515625" style="728" customWidth="1"/>
    <col min="15112" max="15362" width="9.140625" style="728"/>
    <col min="15363" max="15363" width="11.85546875" style="728" customWidth="1"/>
    <col min="15364" max="15364" width="4.140625" style="728" customWidth="1"/>
    <col min="15365" max="15365" width="17.140625" style="728" customWidth="1"/>
    <col min="15366" max="15366" width="15.140625" style="728" customWidth="1"/>
    <col min="15367" max="15367" width="12.28515625" style="728" customWidth="1"/>
    <col min="15368" max="15618" width="9.140625" style="728"/>
    <col min="15619" max="15619" width="11.85546875" style="728" customWidth="1"/>
    <col min="15620" max="15620" width="4.140625" style="728" customWidth="1"/>
    <col min="15621" max="15621" width="17.140625" style="728" customWidth="1"/>
    <col min="15622" max="15622" width="15.140625" style="728" customWidth="1"/>
    <col min="15623" max="15623" width="12.28515625" style="728" customWidth="1"/>
    <col min="15624" max="15874" width="9.140625" style="728"/>
    <col min="15875" max="15875" width="11.85546875" style="728" customWidth="1"/>
    <col min="15876" max="15876" width="4.140625" style="728" customWidth="1"/>
    <col min="15877" max="15877" width="17.140625" style="728" customWidth="1"/>
    <col min="15878" max="15878" width="15.140625" style="728" customWidth="1"/>
    <col min="15879" max="15879" width="12.28515625" style="728" customWidth="1"/>
    <col min="15880" max="16130" width="9.140625" style="728"/>
    <col min="16131" max="16131" width="11.85546875" style="728" customWidth="1"/>
    <col min="16132" max="16132" width="4.140625" style="728" customWidth="1"/>
    <col min="16133" max="16133" width="17.140625" style="728" customWidth="1"/>
    <col min="16134" max="16134" width="15.140625" style="728" customWidth="1"/>
    <col min="16135" max="16135" width="12.28515625" style="728" customWidth="1"/>
    <col min="16136" max="16384" width="9.140625" style="728"/>
  </cols>
  <sheetData>
    <row r="1" spans="1:7" x14ac:dyDescent="0.25">
      <c r="G1" s="728" t="s">
        <v>716</v>
      </c>
    </row>
    <row r="3" spans="1:7" ht="23.25" customHeight="1" x14ac:dyDescent="0.3">
      <c r="A3" s="727" t="s">
        <v>695</v>
      </c>
    </row>
    <row r="7" spans="1:7" ht="27" customHeight="1" x14ac:dyDescent="0.4">
      <c r="A7" s="729" t="s">
        <v>696</v>
      </c>
      <c r="C7" s="730"/>
    </row>
    <row r="12" spans="1:7" ht="23.25" customHeight="1" x14ac:dyDescent="0.25">
      <c r="A12" s="731" t="s">
        <v>697</v>
      </c>
    </row>
    <row r="13" spans="1:7" ht="20.25" customHeight="1" x14ac:dyDescent="0.25">
      <c r="D13" s="732"/>
      <c r="E13" s="732" t="s">
        <v>698</v>
      </c>
      <c r="F13" s="732" t="s">
        <v>699</v>
      </c>
      <c r="G13" s="732" t="s">
        <v>177</v>
      </c>
    </row>
    <row r="14" spans="1:7" ht="21" customHeight="1" x14ac:dyDescent="0.25">
      <c r="A14" s="728" t="s">
        <v>700</v>
      </c>
      <c r="D14" s="733"/>
      <c r="E14" s="733">
        <v>54232</v>
      </c>
      <c r="F14" s="734">
        <v>57797</v>
      </c>
      <c r="G14" s="735">
        <f>F14/E14</f>
        <v>1.0657360967694349</v>
      </c>
    </row>
    <row r="15" spans="1:7" x14ac:dyDescent="0.25">
      <c r="F15" s="736"/>
      <c r="G15" s="737"/>
    </row>
    <row r="16" spans="1:7" x14ac:dyDescent="0.25">
      <c r="F16" s="738"/>
      <c r="G16" s="737"/>
    </row>
    <row r="17" spans="1:7" x14ac:dyDescent="0.25">
      <c r="F17" s="738"/>
      <c r="G17" s="737"/>
    </row>
    <row r="18" spans="1:7" ht="21" customHeight="1" x14ac:dyDescent="0.25">
      <c r="A18" s="731" t="s">
        <v>701</v>
      </c>
      <c r="F18" s="738"/>
      <c r="G18" s="737"/>
    </row>
    <row r="19" spans="1:7" ht="22.5" customHeight="1" x14ac:dyDescent="0.25">
      <c r="D19" s="732"/>
      <c r="E19" s="732" t="s">
        <v>698</v>
      </c>
      <c r="F19" s="739" t="s">
        <v>702</v>
      </c>
      <c r="G19" s="740" t="s">
        <v>177</v>
      </c>
    </row>
    <row r="20" spans="1:7" ht="19.5" customHeight="1" x14ac:dyDescent="0.25">
      <c r="A20" s="728" t="s">
        <v>703</v>
      </c>
      <c r="D20" s="736"/>
      <c r="E20" s="736">
        <v>30552</v>
      </c>
      <c r="F20" s="738">
        <v>32471</v>
      </c>
      <c r="G20" s="737">
        <f>F20/E20</f>
        <v>1.0628109452736318</v>
      </c>
    </row>
    <row r="21" spans="1:7" ht="20.25" customHeight="1" x14ac:dyDescent="0.25">
      <c r="A21" s="728" t="s">
        <v>704</v>
      </c>
      <c r="D21" s="736"/>
      <c r="E21" s="736">
        <v>2220</v>
      </c>
      <c r="F21" s="738">
        <v>2020</v>
      </c>
      <c r="G21" s="737">
        <f t="shared" ref="G21:G30" si="0">F21/E21</f>
        <v>0.90990990990990994</v>
      </c>
    </row>
    <row r="22" spans="1:7" ht="19.5" customHeight="1" x14ac:dyDescent="0.25">
      <c r="A22" s="728" t="s">
        <v>705</v>
      </c>
      <c r="D22" s="736"/>
      <c r="E22" s="736">
        <v>11040</v>
      </c>
      <c r="F22" s="738">
        <v>9691</v>
      </c>
      <c r="G22" s="737">
        <f t="shared" si="0"/>
        <v>0.87780797101449271</v>
      </c>
    </row>
    <row r="23" spans="1:7" ht="18.75" customHeight="1" x14ac:dyDescent="0.25">
      <c r="A23" s="728" t="s">
        <v>706</v>
      </c>
      <c r="D23" s="736"/>
      <c r="E23" s="736">
        <v>5100</v>
      </c>
      <c r="F23" s="738">
        <v>5957</v>
      </c>
      <c r="G23" s="737">
        <f t="shared" si="0"/>
        <v>1.1680392156862744</v>
      </c>
    </row>
    <row r="24" spans="1:7" ht="19.5" customHeight="1" x14ac:dyDescent="0.25">
      <c r="A24" s="728" t="s">
        <v>707</v>
      </c>
      <c r="D24" s="736"/>
      <c r="E24" s="736">
        <v>1584</v>
      </c>
      <c r="F24" s="738">
        <v>2453</v>
      </c>
      <c r="G24" s="737">
        <f t="shared" si="0"/>
        <v>1.5486111111111112</v>
      </c>
    </row>
    <row r="25" spans="1:7" ht="19.5" customHeight="1" x14ac:dyDescent="0.25">
      <c r="A25" s="728" t="s">
        <v>708</v>
      </c>
      <c r="D25" s="736"/>
      <c r="E25" s="736">
        <v>2160</v>
      </c>
      <c r="F25" s="738">
        <v>2241</v>
      </c>
      <c r="G25" s="737">
        <f t="shared" si="0"/>
        <v>1.0375000000000001</v>
      </c>
    </row>
    <row r="26" spans="1:7" ht="18.75" customHeight="1" x14ac:dyDescent="0.25">
      <c r="A26" s="728" t="s">
        <v>709</v>
      </c>
      <c r="D26" s="736"/>
      <c r="E26" s="736">
        <v>300</v>
      </c>
      <c r="F26" s="738">
        <v>305</v>
      </c>
      <c r="G26" s="737">
        <f t="shared" si="0"/>
        <v>1.0166666666666666</v>
      </c>
    </row>
    <row r="27" spans="1:7" ht="19.5" customHeight="1" x14ac:dyDescent="0.25">
      <c r="A27" s="728" t="s">
        <v>710</v>
      </c>
      <c r="D27" s="736"/>
      <c r="E27" s="736">
        <v>820</v>
      </c>
      <c r="F27" s="738">
        <v>0</v>
      </c>
      <c r="G27" s="737">
        <f t="shared" si="0"/>
        <v>0</v>
      </c>
    </row>
    <row r="28" spans="1:7" ht="21.75" customHeight="1" x14ac:dyDescent="0.25">
      <c r="A28" s="728" t="s">
        <v>711</v>
      </c>
      <c r="D28" s="736"/>
      <c r="E28" s="736">
        <v>306</v>
      </c>
      <c r="F28" s="738">
        <v>306</v>
      </c>
      <c r="G28" s="737">
        <f t="shared" si="0"/>
        <v>1</v>
      </c>
    </row>
    <row r="29" spans="1:7" ht="18.75" customHeight="1" x14ac:dyDescent="0.25">
      <c r="A29" s="728" t="s">
        <v>712</v>
      </c>
      <c r="D29" s="736"/>
      <c r="E29" s="736">
        <v>150</v>
      </c>
      <c r="F29" s="738">
        <v>0</v>
      </c>
      <c r="G29" s="737">
        <f t="shared" si="0"/>
        <v>0</v>
      </c>
    </row>
    <row r="30" spans="1:7" ht="18.75" customHeight="1" x14ac:dyDescent="0.25">
      <c r="A30" s="728" t="s">
        <v>713</v>
      </c>
      <c r="D30" s="733"/>
      <c r="E30" s="733">
        <f>SUM(E20:E29)</f>
        <v>54232</v>
      </c>
      <c r="F30" s="734">
        <f>SUM(F20:F29)</f>
        <v>55444</v>
      </c>
      <c r="G30" s="735">
        <f t="shared" si="0"/>
        <v>1.0223484289718248</v>
      </c>
    </row>
    <row r="31" spans="1:7" ht="18.75" customHeight="1" x14ac:dyDescent="0.25"/>
    <row r="33" spans="5:6" ht="15.75" x14ac:dyDescent="0.25">
      <c r="E33" s="731" t="s">
        <v>714</v>
      </c>
      <c r="F33" s="741">
        <v>2353</v>
      </c>
    </row>
  </sheetData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G2" sqref="G2"/>
    </sheetView>
  </sheetViews>
  <sheetFormatPr defaultRowHeight="15" x14ac:dyDescent="0.25"/>
  <cols>
    <col min="1" max="2" width="9.140625" style="728"/>
    <col min="3" max="3" width="11.85546875" style="728" customWidth="1"/>
    <col min="4" max="4" width="4.140625" style="728" customWidth="1"/>
    <col min="5" max="5" width="17.140625" style="728" customWidth="1"/>
    <col min="6" max="6" width="15.140625" style="728" customWidth="1"/>
    <col min="7" max="7" width="12.28515625" style="728" customWidth="1"/>
    <col min="8" max="258" width="9.140625" style="728"/>
    <col min="259" max="259" width="11.85546875" style="728" customWidth="1"/>
    <col min="260" max="260" width="4.140625" style="728" customWidth="1"/>
    <col min="261" max="261" width="17.140625" style="728" customWidth="1"/>
    <col min="262" max="262" width="15.140625" style="728" customWidth="1"/>
    <col min="263" max="263" width="12.28515625" style="728" customWidth="1"/>
    <col min="264" max="514" width="9.140625" style="728"/>
    <col min="515" max="515" width="11.85546875" style="728" customWidth="1"/>
    <col min="516" max="516" width="4.140625" style="728" customWidth="1"/>
    <col min="517" max="517" width="17.140625" style="728" customWidth="1"/>
    <col min="518" max="518" width="15.140625" style="728" customWidth="1"/>
    <col min="519" max="519" width="12.28515625" style="728" customWidth="1"/>
    <col min="520" max="770" width="9.140625" style="728"/>
    <col min="771" max="771" width="11.85546875" style="728" customWidth="1"/>
    <col min="772" max="772" width="4.140625" style="728" customWidth="1"/>
    <col min="773" max="773" width="17.140625" style="728" customWidth="1"/>
    <col min="774" max="774" width="15.140625" style="728" customWidth="1"/>
    <col min="775" max="775" width="12.28515625" style="728" customWidth="1"/>
    <col min="776" max="1026" width="9.140625" style="728"/>
    <col min="1027" max="1027" width="11.85546875" style="728" customWidth="1"/>
    <col min="1028" max="1028" width="4.140625" style="728" customWidth="1"/>
    <col min="1029" max="1029" width="17.140625" style="728" customWidth="1"/>
    <col min="1030" max="1030" width="15.140625" style="728" customWidth="1"/>
    <col min="1031" max="1031" width="12.28515625" style="728" customWidth="1"/>
    <col min="1032" max="1282" width="9.140625" style="728"/>
    <col min="1283" max="1283" width="11.85546875" style="728" customWidth="1"/>
    <col min="1284" max="1284" width="4.140625" style="728" customWidth="1"/>
    <col min="1285" max="1285" width="17.140625" style="728" customWidth="1"/>
    <col min="1286" max="1286" width="15.140625" style="728" customWidth="1"/>
    <col min="1287" max="1287" width="12.28515625" style="728" customWidth="1"/>
    <col min="1288" max="1538" width="9.140625" style="728"/>
    <col min="1539" max="1539" width="11.85546875" style="728" customWidth="1"/>
    <col min="1540" max="1540" width="4.140625" style="728" customWidth="1"/>
    <col min="1541" max="1541" width="17.140625" style="728" customWidth="1"/>
    <col min="1542" max="1542" width="15.140625" style="728" customWidth="1"/>
    <col min="1543" max="1543" width="12.28515625" style="728" customWidth="1"/>
    <col min="1544" max="1794" width="9.140625" style="728"/>
    <col min="1795" max="1795" width="11.85546875" style="728" customWidth="1"/>
    <col min="1796" max="1796" width="4.140625" style="728" customWidth="1"/>
    <col min="1797" max="1797" width="17.140625" style="728" customWidth="1"/>
    <col min="1798" max="1798" width="15.140625" style="728" customWidth="1"/>
    <col min="1799" max="1799" width="12.28515625" style="728" customWidth="1"/>
    <col min="1800" max="2050" width="9.140625" style="728"/>
    <col min="2051" max="2051" width="11.85546875" style="728" customWidth="1"/>
    <col min="2052" max="2052" width="4.140625" style="728" customWidth="1"/>
    <col min="2053" max="2053" width="17.140625" style="728" customWidth="1"/>
    <col min="2054" max="2054" width="15.140625" style="728" customWidth="1"/>
    <col min="2055" max="2055" width="12.28515625" style="728" customWidth="1"/>
    <col min="2056" max="2306" width="9.140625" style="728"/>
    <col min="2307" max="2307" width="11.85546875" style="728" customWidth="1"/>
    <col min="2308" max="2308" width="4.140625" style="728" customWidth="1"/>
    <col min="2309" max="2309" width="17.140625" style="728" customWidth="1"/>
    <col min="2310" max="2310" width="15.140625" style="728" customWidth="1"/>
    <col min="2311" max="2311" width="12.28515625" style="728" customWidth="1"/>
    <col min="2312" max="2562" width="9.140625" style="728"/>
    <col min="2563" max="2563" width="11.85546875" style="728" customWidth="1"/>
    <col min="2564" max="2564" width="4.140625" style="728" customWidth="1"/>
    <col min="2565" max="2565" width="17.140625" style="728" customWidth="1"/>
    <col min="2566" max="2566" width="15.140625" style="728" customWidth="1"/>
    <col min="2567" max="2567" width="12.28515625" style="728" customWidth="1"/>
    <col min="2568" max="2818" width="9.140625" style="728"/>
    <col min="2819" max="2819" width="11.85546875" style="728" customWidth="1"/>
    <col min="2820" max="2820" width="4.140625" style="728" customWidth="1"/>
    <col min="2821" max="2821" width="17.140625" style="728" customWidth="1"/>
    <col min="2822" max="2822" width="15.140625" style="728" customWidth="1"/>
    <col min="2823" max="2823" width="12.28515625" style="728" customWidth="1"/>
    <col min="2824" max="3074" width="9.140625" style="728"/>
    <col min="3075" max="3075" width="11.85546875" style="728" customWidth="1"/>
    <col min="3076" max="3076" width="4.140625" style="728" customWidth="1"/>
    <col min="3077" max="3077" width="17.140625" style="728" customWidth="1"/>
    <col min="3078" max="3078" width="15.140625" style="728" customWidth="1"/>
    <col min="3079" max="3079" width="12.28515625" style="728" customWidth="1"/>
    <col min="3080" max="3330" width="9.140625" style="728"/>
    <col min="3331" max="3331" width="11.85546875" style="728" customWidth="1"/>
    <col min="3332" max="3332" width="4.140625" style="728" customWidth="1"/>
    <col min="3333" max="3333" width="17.140625" style="728" customWidth="1"/>
    <col min="3334" max="3334" width="15.140625" style="728" customWidth="1"/>
    <col min="3335" max="3335" width="12.28515625" style="728" customWidth="1"/>
    <col min="3336" max="3586" width="9.140625" style="728"/>
    <col min="3587" max="3587" width="11.85546875" style="728" customWidth="1"/>
    <col min="3588" max="3588" width="4.140625" style="728" customWidth="1"/>
    <col min="3589" max="3589" width="17.140625" style="728" customWidth="1"/>
    <col min="3590" max="3590" width="15.140625" style="728" customWidth="1"/>
    <col min="3591" max="3591" width="12.28515625" style="728" customWidth="1"/>
    <col min="3592" max="3842" width="9.140625" style="728"/>
    <col min="3843" max="3843" width="11.85546875" style="728" customWidth="1"/>
    <col min="3844" max="3844" width="4.140625" style="728" customWidth="1"/>
    <col min="3845" max="3845" width="17.140625" style="728" customWidth="1"/>
    <col min="3846" max="3846" width="15.140625" style="728" customWidth="1"/>
    <col min="3847" max="3847" width="12.28515625" style="728" customWidth="1"/>
    <col min="3848" max="4098" width="9.140625" style="728"/>
    <col min="4099" max="4099" width="11.85546875" style="728" customWidth="1"/>
    <col min="4100" max="4100" width="4.140625" style="728" customWidth="1"/>
    <col min="4101" max="4101" width="17.140625" style="728" customWidth="1"/>
    <col min="4102" max="4102" width="15.140625" style="728" customWidth="1"/>
    <col min="4103" max="4103" width="12.28515625" style="728" customWidth="1"/>
    <col min="4104" max="4354" width="9.140625" style="728"/>
    <col min="4355" max="4355" width="11.85546875" style="728" customWidth="1"/>
    <col min="4356" max="4356" width="4.140625" style="728" customWidth="1"/>
    <col min="4357" max="4357" width="17.140625" style="728" customWidth="1"/>
    <col min="4358" max="4358" width="15.140625" style="728" customWidth="1"/>
    <col min="4359" max="4359" width="12.28515625" style="728" customWidth="1"/>
    <col min="4360" max="4610" width="9.140625" style="728"/>
    <col min="4611" max="4611" width="11.85546875" style="728" customWidth="1"/>
    <col min="4612" max="4612" width="4.140625" style="728" customWidth="1"/>
    <col min="4613" max="4613" width="17.140625" style="728" customWidth="1"/>
    <col min="4614" max="4614" width="15.140625" style="728" customWidth="1"/>
    <col min="4615" max="4615" width="12.28515625" style="728" customWidth="1"/>
    <col min="4616" max="4866" width="9.140625" style="728"/>
    <col min="4867" max="4867" width="11.85546875" style="728" customWidth="1"/>
    <col min="4868" max="4868" width="4.140625" style="728" customWidth="1"/>
    <col min="4869" max="4869" width="17.140625" style="728" customWidth="1"/>
    <col min="4870" max="4870" width="15.140625" style="728" customWidth="1"/>
    <col min="4871" max="4871" width="12.28515625" style="728" customWidth="1"/>
    <col min="4872" max="5122" width="9.140625" style="728"/>
    <col min="5123" max="5123" width="11.85546875" style="728" customWidth="1"/>
    <col min="5124" max="5124" width="4.140625" style="728" customWidth="1"/>
    <col min="5125" max="5125" width="17.140625" style="728" customWidth="1"/>
    <col min="5126" max="5126" width="15.140625" style="728" customWidth="1"/>
    <col min="5127" max="5127" width="12.28515625" style="728" customWidth="1"/>
    <col min="5128" max="5378" width="9.140625" style="728"/>
    <col min="5379" max="5379" width="11.85546875" style="728" customWidth="1"/>
    <col min="5380" max="5380" width="4.140625" style="728" customWidth="1"/>
    <col min="5381" max="5381" width="17.140625" style="728" customWidth="1"/>
    <col min="5382" max="5382" width="15.140625" style="728" customWidth="1"/>
    <col min="5383" max="5383" width="12.28515625" style="728" customWidth="1"/>
    <col min="5384" max="5634" width="9.140625" style="728"/>
    <col min="5635" max="5635" width="11.85546875" style="728" customWidth="1"/>
    <col min="5636" max="5636" width="4.140625" style="728" customWidth="1"/>
    <col min="5637" max="5637" width="17.140625" style="728" customWidth="1"/>
    <col min="5638" max="5638" width="15.140625" style="728" customWidth="1"/>
    <col min="5639" max="5639" width="12.28515625" style="728" customWidth="1"/>
    <col min="5640" max="5890" width="9.140625" style="728"/>
    <col min="5891" max="5891" width="11.85546875" style="728" customWidth="1"/>
    <col min="5892" max="5892" width="4.140625" style="728" customWidth="1"/>
    <col min="5893" max="5893" width="17.140625" style="728" customWidth="1"/>
    <col min="5894" max="5894" width="15.140625" style="728" customWidth="1"/>
    <col min="5895" max="5895" width="12.28515625" style="728" customWidth="1"/>
    <col min="5896" max="6146" width="9.140625" style="728"/>
    <col min="6147" max="6147" width="11.85546875" style="728" customWidth="1"/>
    <col min="6148" max="6148" width="4.140625" style="728" customWidth="1"/>
    <col min="6149" max="6149" width="17.140625" style="728" customWidth="1"/>
    <col min="6150" max="6150" width="15.140625" style="728" customWidth="1"/>
    <col min="6151" max="6151" width="12.28515625" style="728" customWidth="1"/>
    <col min="6152" max="6402" width="9.140625" style="728"/>
    <col min="6403" max="6403" width="11.85546875" style="728" customWidth="1"/>
    <col min="6404" max="6404" width="4.140625" style="728" customWidth="1"/>
    <col min="6405" max="6405" width="17.140625" style="728" customWidth="1"/>
    <col min="6406" max="6406" width="15.140625" style="728" customWidth="1"/>
    <col min="6407" max="6407" width="12.28515625" style="728" customWidth="1"/>
    <col min="6408" max="6658" width="9.140625" style="728"/>
    <col min="6659" max="6659" width="11.85546875" style="728" customWidth="1"/>
    <col min="6660" max="6660" width="4.140625" style="728" customWidth="1"/>
    <col min="6661" max="6661" width="17.140625" style="728" customWidth="1"/>
    <col min="6662" max="6662" width="15.140625" style="728" customWidth="1"/>
    <col min="6663" max="6663" width="12.28515625" style="728" customWidth="1"/>
    <col min="6664" max="6914" width="9.140625" style="728"/>
    <col min="6915" max="6915" width="11.85546875" style="728" customWidth="1"/>
    <col min="6916" max="6916" width="4.140625" style="728" customWidth="1"/>
    <col min="6917" max="6917" width="17.140625" style="728" customWidth="1"/>
    <col min="6918" max="6918" width="15.140625" style="728" customWidth="1"/>
    <col min="6919" max="6919" width="12.28515625" style="728" customWidth="1"/>
    <col min="6920" max="7170" width="9.140625" style="728"/>
    <col min="7171" max="7171" width="11.85546875" style="728" customWidth="1"/>
    <col min="7172" max="7172" width="4.140625" style="728" customWidth="1"/>
    <col min="7173" max="7173" width="17.140625" style="728" customWidth="1"/>
    <col min="7174" max="7174" width="15.140625" style="728" customWidth="1"/>
    <col min="7175" max="7175" width="12.28515625" style="728" customWidth="1"/>
    <col min="7176" max="7426" width="9.140625" style="728"/>
    <col min="7427" max="7427" width="11.85546875" style="728" customWidth="1"/>
    <col min="7428" max="7428" width="4.140625" style="728" customWidth="1"/>
    <col min="7429" max="7429" width="17.140625" style="728" customWidth="1"/>
    <col min="7430" max="7430" width="15.140625" style="728" customWidth="1"/>
    <col min="7431" max="7431" width="12.28515625" style="728" customWidth="1"/>
    <col min="7432" max="7682" width="9.140625" style="728"/>
    <col min="7683" max="7683" width="11.85546875" style="728" customWidth="1"/>
    <col min="7684" max="7684" width="4.140625" style="728" customWidth="1"/>
    <col min="7685" max="7685" width="17.140625" style="728" customWidth="1"/>
    <col min="7686" max="7686" width="15.140625" style="728" customWidth="1"/>
    <col min="7687" max="7687" width="12.28515625" style="728" customWidth="1"/>
    <col min="7688" max="7938" width="9.140625" style="728"/>
    <col min="7939" max="7939" width="11.85546875" style="728" customWidth="1"/>
    <col min="7940" max="7940" width="4.140625" style="728" customWidth="1"/>
    <col min="7941" max="7941" width="17.140625" style="728" customWidth="1"/>
    <col min="7942" max="7942" width="15.140625" style="728" customWidth="1"/>
    <col min="7943" max="7943" width="12.28515625" style="728" customWidth="1"/>
    <col min="7944" max="8194" width="9.140625" style="728"/>
    <col min="8195" max="8195" width="11.85546875" style="728" customWidth="1"/>
    <col min="8196" max="8196" width="4.140625" style="728" customWidth="1"/>
    <col min="8197" max="8197" width="17.140625" style="728" customWidth="1"/>
    <col min="8198" max="8198" width="15.140625" style="728" customWidth="1"/>
    <col min="8199" max="8199" width="12.28515625" style="728" customWidth="1"/>
    <col min="8200" max="8450" width="9.140625" style="728"/>
    <col min="8451" max="8451" width="11.85546875" style="728" customWidth="1"/>
    <col min="8452" max="8452" width="4.140625" style="728" customWidth="1"/>
    <col min="8453" max="8453" width="17.140625" style="728" customWidth="1"/>
    <col min="8454" max="8454" width="15.140625" style="728" customWidth="1"/>
    <col min="8455" max="8455" width="12.28515625" style="728" customWidth="1"/>
    <col min="8456" max="8706" width="9.140625" style="728"/>
    <col min="8707" max="8707" width="11.85546875" style="728" customWidth="1"/>
    <col min="8708" max="8708" width="4.140625" style="728" customWidth="1"/>
    <col min="8709" max="8709" width="17.140625" style="728" customWidth="1"/>
    <col min="8710" max="8710" width="15.140625" style="728" customWidth="1"/>
    <col min="8711" max="8711" width="12.28515625" style="728" customWidth="1"/>
    <col min="8712" max="8962" width="9.140625" style="728"/>
    <col min="8963" max="8963" width="11.85546875" style="728" customWidth="1"/>
    <col min="8964" max="8964" width="4.140625" style="728" customWidth="1"/>
    <col min="8965" max="8965" width="17.140625" style="728" customWidth="1"/>
    <col min="8966" max="8966" width="15.140625" style="728" customWidth="1"/>
    <col min="8967" max="8967" width="12.28515625" style="728" customWidth="1"/>
    <col min="8968" max="9218" width="9.140625" style="728"/>
    <col min="9219" max="9219" width="11.85546875" style="728" customWidth="1"/>
    <col min="9220" max="9220" width="4.140625" style="728" customWidth="1"/>
    <col min="9221" max="9221" width="17.140625" style="728" customWidth="1"/>
    <col min="9222" max="9222" width="15.140625" style="728" customWidth="1"/>
    <col min="9223" max="9223" width="12.28515625" style="728" customWidth="1"/>
    <col min="9224" max="9474" width="9.140625" style="728"/>
    <col min="9475" max="9475" width="11.85546875" style="728" customWidth="1"/>
    <col min="9476" max="9476" width="4.140625" style="728" customWidth="1"/>
    <col min="9477" max="9477" width="17.140625" style="728" customWidth="1"/>
    <col min="9478" max="9478" width="15.140625" style="728" customWidth="1"/>
    <col min="9479" max="9479" width="12.28515625" style="728" customWidth="1"/>
    <col min="9480" max="9730" width="9.140625" style="728"/>
    <col min="9731" max="9731" width="11.85546875" style="728" customWidth="1"/>
    <col min="9732" max="9732" width="4.140625" style="728" customWidth="1"/>
    <col min="9733" max="9733" width="17.140625" style="728" customWidth="1"/>
    <col min="9734" max="9734" width="15.140625" style="728" customWidth="1"/>
    <col min="9735" max="9735" width="12.28515625" style="728" customWidth="1"/>
    <col min="9736" max="9986" width="9.140625" style="728"/>
    <col min="9987" max="9987" width="11.85546875" style="728" customWidth="1"/>
    <col min="9988" max="9988" width="4.140625" style="728" customWidth="1"/>
    <col min="9989" max="9989" width="17.140625" style="728" customWidth="1"/>
    <col min="9990" max="9990" width="15.140625" style="728" customWidth="1"/>
    <col min="9991" max="9991" width="12.28515625" style="728" customWidth="1"/>
    <col min="9992" max="10242" width="9.140625" style="728"/>
    <col min="10243" max="10243" width="11.85546875" style="728" customWidth="1"/>
    <col min="10244" max="10244" width="4.140625" style="728" customWidth="1"/>
    <col min="10245" max="10245" width="17.140625" style="728" customWidth="1"/>
    <col min="10246" max="10246" width="15.140625" style="728" customWidth="1"/>
    <col min="10247" max="10247" width="12.28515625" style="728" customWidth="1"/>
    <col min="10248" max="10498" width="9.140625" style="728"/>
    <col min="10499" max="10499" width="11.85546875" style="728" customWidth="1"/>
    <col min="10500" max="10500" width="4.140625" style="728" customWidth="1"/>
    <col min="10501" max="10501" width="17.140625" style="728" customWidth="1"/>
    <col min="10502" max="10502" width="15.140625" style="728" customWidth="1"/>
    <col min="10503" max="10503" width="12.28515625" style="728" customWidth="1"/>
    <col min="10504" max="10754" width="9.140625" style="728"/>
    <col min="10755" max="10755" width="11.85546875" style="728" customWidth="1"/>
    <col min="10756" max="10756" width="4.140625" style="728" customWidth="1"/>
    <col min="10757" max="10757" width="17.140625" style="728" customWidth="1"/>
    <col min="10758" max="10758" width="15.140625" style="728" customWidth="1"/>
    <col min="10759" max="10759" width="12.28515625" style="728" customWidth="1"/>
    <col min="10760" max="11010" width="9.140625" style="728"/>
    <col min="11011" max="11011" width="11.85546875" style="728" customWidth="1"/>
    <col min="11012" max="11012" width="4.140625" style="728" customWidth="1"/>
    <col min="11013" max="11013" width="17.140625" style="728" customWidth="1"/>
    <col min="11014" max="11014" width="15.140625" style="728" customWidth="1"/>
    <col min="11015" max="11015" width="12.28515625" style="728" customWidth="1"/>
    <col min="11016" max="11266" width="9.140625" style="728"/>
    <col min="11267" max="11267" width="11.85546875" style="728" customWidth="1"/>
    <col min="11268" max="11268" width="4.140625" style="728" customWidth="1"/>
    <col min="11269" max="11269" width="17.140625" style="728" customWidth="1"/>
    <col min="11270" max="11270" width="15.140625" style="728" customWidth="1"/>
    <col min="11271" max="11271" width="12.28515625" style="728" customWidth="1"/>
    <col min="11272" max="11522" width="9.140625" style="728"/>
    <col min="11523" max="11523" width="11.85546875" style="728" customWidth="1"/>
    <col min="11524" max="11524" width="4.140625" style="728" customWidth="1"/>
    <col min="11525" max="11525" width="17.140625" style="728" customWidth="1"/>
    <col min="11526" max="11526" width="15.140625" style="728" customWidth="1"/>
    <col min="11527" max="11527" width="12.28515625" style="728" customWidth="1"/>
    <col min="11528" max="11778" width="9.140625" style="728"/>
    <col min="11779" max="11779" width="11.85546875" style="728" customWidth="1"/>
    <col min="11780" max="11780" width="4.140625" style="728" customWidth="1"/>
    <col min="11781" max="11781" width="17.140625" style="728" customWidth="1"/>
    <col min="11782" max="11782" width="15.140625" style="728" customWidth="1"/>
    <col min="11783" max="11783" width="12.28515625" style="728" customWidth="1"/>
    <col min="11784" max="12034" width="9.140625" style="728"/>
    <col min="12035" max="12035" width="11.85546875" style="728" customWidth="1"/>
    <col min="12036" max="12036" width="4.140625" style="728" customWidth="1"/>
    <col min="12037" max="12037" width="17.140625" style="728" customWidth="1"/>
    <col min="12038" max="12038" width="15.140625" style="728" customWidth="1"/>
    <col min="12039" max="12039" width="12.28515625" style="728" customWidth="1"/>
    <col min="12040" max="12290" width="9.140625" style="728"/>
    <col min="12291" max="12291" width="11.85546875" style="728" customWidth="1"/>
    <col min="12292" max="12292" width="4.140625" style="728" customWidth="1"/>
    <col min="12293" max="12293" width="17.140625" style="728" customWidth="1"/>
    <col min="12294" max="12294" width="15.140625" style="728" customWidth="1"/>
    <col min="12295" max="12295" width="12.28515625" style="728" customWidth="1"/>
    <col min="12296" max="12546" width="9.140625" style="728"/>
    <col min="12547" max="12547" width="11.85546875" style="728" customWidth="1"/>
    <col min="12548" max="12548" width="4.140625" style="728" customWidth="1"/>
    <col min="12549" max="12549" width="17.140625" style="728" customWidth="1"/>
    <col min="12550" max="12550" width="15.140625" style="728" customWidth="1"/>
    <col min="12551" max="12551" width="12.28515625" style="728" customWidth="1"/>
    <col min="12552" max="12802" width="9.140625" style="728"/>
    <col min="12803" max="12803" width="11.85546875" style="728" customWidth="1"/>
    <col min="12804" max="12804" width="4.140625" style="728" customWidth="1"/>
    <col min="12805" max="12805" width="17.140625" style="728" customWidth="1"/>
    <col min="12806" max="12806" width="15.140625" style="728" customWidth="1"/>
    <col min="12807" max="12807" width="12.28515625" style="728" customWidth="1"/>
    <col min="12808" max="13058" width="9.140625" style="728"/>
    <col min="13059" max="13059" width="11.85546875" style="728" customWidth="1"/>
    <col min="13060" max="13060" width="4.140625" style="728" customWidth="1"/>
    <col min="13061" max="13061" width="17.140625" style="728" customWidth="1"/>
    <col min="13062" max="13062" width="15.140625" style="728" customWidth="1"/>
    <col min="13063" max="13063" width="12.28515625" style="728" customWidth="1"/>
    <col min="13064" max="13314" width="9.140625" style="728"/>
    <col min="13315" max="13315" width="11.85546875" style="728" customWidth="1"/>
    <col min="13316" max="13316" width="4.140625" style="728" customWidth="1"/>
    <col min="13317" max="13317" width="17.140625" style="728" customWidth="1"/>
    <col min="13318" max="13318" width="15.140625" style="728" customWidth="1"/>
    <col min="13319" max="13319" width="12.28515625" style="728" customWidth="1"/>
    <col min="13320" max="13570" width="9.140625" style="728"/>
    <col min="13571" max="13571" width="11.85546875" style="728" customWidth="1"/>
    <col min="13572" max="13572" width="4.140625" style="728" customWidth="1"/>
    <col min="13573" max="13573" width="17.140625" style="728" customWidth="1"/>
    <col min="13574" max="13574" width="15.140625" style="728" customWidth="1"/>
    <col min="13575" max="13575" width="12.28515625" style="728" customWidth="1"/>
    <col min="13576" max="13826" width="9.140625" style="728"/>
    <col min="13827" max="13827" width="11.85546875" style="728" customWidth="1"/>
    <col min="13828" max="13828" width="4.140625" style="728" customWidth="1"/>
    <col min="13829" max="13829" width="17.140625" style="728" customWidth="1"/>
    <col min="13830" max="13830" width="15.140625" style="728" customWidth="1"/>
    <col min="13831" max="13831" width="12.28515625" style="728" customWidth="1"/>
    <col min="13832" max="14082" width="9.140625" style="728"/>
    <col min="14083" max="14083" width="11.85546875" style="728" customWidth="1"/>
    <col min="14084" max="14084" width="4.140625" style="728" customWidth="1"/>
    <col min="14085" max="14085" width="17.140625" style="728" customWidth="1"/>
    <col min="14086" max="14086" width="15.140625" style="728" customWidth="1"/>
    <col min="14087" max="14087" width="12.28515625" style="728" customWidth="1"/>
    <col min="14088" max="14338" width="9.140625" style="728"/>
    <col min="14339" max="14339" width="11.85546875" style="728" customWidth="1"/>
    <col min="14340" max="14340" width="4.140625" style="728" customWidth="1"/>
    <col min="14341" max="14341" width="17.140625" style="728" customWidth="1"/>
    <col min="14342" max="14342" width="15.140625" style="728" customWidth="1"/>
    <col min="14343" max="14343" width="12.28515625" style="728" customWidth="1"/>
    <col min="14344" max="14594" width="9.140625" style="728"/>
    <col min="14595" max="14595" width="11.85546875" style="728" customWidth="1"/>
    <col min="14596" max="14596" width="4.140625" style="728" customWidth="1"/>
    <col min="14597" max="14597" width="17.140625" style="728" customWidth="1"/>
    <col min="14598" max="14598" width="15.140625" style="728" customWidth="1"/>
    <col min="14599" max="14599" width="12.28515625" style="728" customWidth="1"/>
    <col min="14600" max="14850" width="9.140625" style="728"/>
    <col min="14851" max="14851" width="11.85546875" style="728" customWidth="1"/>
    <col min="14852" max="14852" width="4.140625" style="728" customWidth="1"/>
    <col min="14853" max="14853" width="17.140625" style="728" customWidth="1"/>
    <col min="14854" max="14854" width="15.140625" style="728" customWidth="1"/>
    <col min="14855" max="14855" width="12.28515625" style="728" customWidth="1"/>
    <col min="14856" max="15106" width="9.140625" style="728"/>
    <col min="15107" max="15107" width="11.85546875" style="728" customWidth="1"/>
    <col min="15108" max="15108" width="4.140625" style="728" customWidth="1"/>
    <col min="15109" max="15109" width="17.140625" style="728" customWidth="1"/>
    <col min="15110" max="15110" width="15.140625" style="728" customWidth="1"/>
    <col min="15111" max="15111" width="12.28515625" style="728" customWidth="1"/>
    <col min="15112" max="15362" width="9.140625" style="728"/>
    <col min="15363" max="15363" width="11.85546875" style="728" customWidth="1"/>
    <col min="15364" max="15364" width="4.140625" style="728" customWidth="1"/>
    <col min="15365" max="15365" width="17.140625" style="728" customWidth="1"/>
    <col min="15366" max="15366" width="15.140625" style="728" customWidth="1"/>
    <col min="15367" max="15367" width="12.28515625" style="728" customWidth="1"/>
    <col min="15368" max="15618" width="9.140625" style="728"/>
    <col min="15619" max="15619" width="11.85546875" style="728" customWidth="1"/>
    <col min="15620" max="15620" width="4.140625" style="728" customWidth="1"/>
    <col min="15621" max="15621" width="17.140625" style="728" customWidth="1"/>
    <col min="15622" max="15622" width="15.140625" style="728" customWidth="1"/>
    <col min="15623" max="15623" width="12.28515625" style="728" customWidth="1"/>
    <col min="15624" max="15874" width="9.140625" style="728"/>
    <col min="15875" max="15875" width="11.85546875" style="728" customWidth="1"/>
    <col min="15876" max="15876" width="4.140625" style="728" customWidth="1"/>
    <col min="15877" max="15877" width="17.140625" style="728" customWidth="1"/>
    <col min="15878" max="15878" width="15.140625" style="728" customWidth="1"/>
    <col min="15879" max="15879" width="12.28515625" style="728" customWidth="1"/>
    <col min="15880" max="16130" width="9.140625" style="728"/>
    <col min="16131" max="16131" width="11.85546875" style="728" customWidth="1"/>
    <col min="16132" max="16132" width="4.140625" style="728" customWidth="1"/>
    <col min="16133" max="16133" width="17.140625" style="728" customWidth="1"/>
    <col min="16134" max="16134" width="15.140625" style="728" customWidth="1"/>
    <col min="16135" max="16135" width="12.28515625" style="728" customWidth="1"/>
    <col min="16136" max="16384" width="9.140625" style="728"/>
  </cols>
  <sheetData>
    <row r="1" spans="1:7" x14ac:dyDescent="0.25">
      <c r="G1" s="728" t="s">
        <v>717</v>
      </c>
    </row>
    <row r="3" spans="1:7" ht="23.25" customHeight="1" x14ac:dyDescent="0.3">
      <c r="A3" s="727" t="s">
        <v>715</v>
      </c>
    </row>
    <row r="7" spans="1:7" ht="27" customHeight="1" x14ac:dyDescent="0.4">
      <c r="A7" s="729" t="s">
        <v>254</v>
      </c>
      <c r="C7" s="730"/>
    </row>
    <row r="12" spans="1:7" ht="23.25" customHeight="1" x14ac:dyDescent="0.25">
      <c r="A12" s="731" t="s">
        <v>697</v>
      </c>
    </row>
    <row r="13" spans="1:7" ht="20.25" customHeight="1" x14ac:dyDescent="0.25">
      <c r="D13" s="732"/>
      <c r="E13" s="732" t="s">
        <v>698</v>
      </c>
      <c r="F13" s="732" t="s">
        <v>699</v>
      </c>
      <c r="G13" s="732" t="s">
        <v>177</v>
      </c>
    </row>
    <row r="14" spans="1:7" ht="21" customHeight="1" x14ac:dyDescent="0.25">
      <c r="A14" s="728" t="s">
        <v>700</v>
      </c>
      <c r="D14" s="733"/>
      <c r="E14" s="733">
        <v>43783</v>
      </c>
      <c r="F14" s="734">
        <v>43707</v>
      </c>
      <c r="G14" s="735">
        <f>F14/E14</f>
        <v>0.99826416645730076</v>
      </c>
    </row>
    <row r="15" spans="1:7" x14ac:dyDescent="0.25">
      <c r="F15" s="736"/>
      <c r="G15" s="737"/>
    </row>
    <row r="16" spans="1:7" x14ac:dyDescent="0.25">
      <c r="F16" s="738"/>
      <c r="G16" s="737"/>
    </row>
    <row r="17" spans="1:7" x14ac:dyDescent="0.25">
      <c r="F17" s="738"/>
      <c r="G17" s="737"/>
    </row>
    <row r="18" spans="1:7" ht="21" customHeight="1" x14ac:dyDescent="0.25">
      <c r="A18" s="731" t="s">
        <v>701</v>
      </c>
      <c r="F18" s="738"/>
      <c r="G18" s="737"/>
    </row>
    <row r="19" spans="1:7" ht="22.5" customHeight="1" x14ac:dyDescent="0.25">
      <c r="D19" s="732"/>
      <c r="E19" s="732" t="s">
        <v>698</v>
      </c>
      <c r="F19" s="739" t="s">
        <v>699</v>
      </c>
      <c r="G19" s="740" t="s">
        <v>177</v>
      </c>
    </row>
    <row r="20" spans="1:7" ht="19.5" customHeight="1" x14ac:dyDescent="0.25">
      <c r="A20" s="728" t="s">
        <v>703</v>
      </c>
      <c r="D20" s="736"/>
      <c r="E20" s="736">
        <v>22230</v>
      </c>
      <c r="F20" s="738">
        <v>21274</v>
      </c>
      <c r="G20" s="737">
        <f>F20/E20</f>
        <v>0.95699505173189381</v>
      </c>
    </row>
    <row r="21" spans="1:7" ht="20.25" customHeight="1" x14ac:dyDescent="0.25">
      <c r="A21" s="728" t="s">
        <v>704</v>
      </c>
      <c r="D21" s="736"/>
      <c r="E21" s="736">
        <v>2400</v>
      </c>
      <c r="F21" s="738">
        <v>2038</v>
      </c>
      <c r="G21" s="737">
        <f t="shared" ref="G21:G30" si="0">F21/E21</f>
        <v>0.84916666666666663</v>
      </c>
    </row>
    <row r="22" spans="1:7" ht="19.5" customHeight="1" x14ac:dyDescent="0.25">
      <c r="A22" s="728" t="s">
        <v>705</v>
      </c>
      <c r="D22" s="736"/>
      <c r="E22" s="736">
        <v>13200</v>
      </c>
      <c r="F22" s="738">
        <v>11771</v>
      </c>
      <c r="G22" s="737">
        <f t="shared" si="0"/>
        <v>0.89174242424242423</v>
      </c>
    </row>
    <row r="23" spans="1:7" ht="18.75" customHeight="1" x14ac:dyDescent="0.25">
      <c r="A23" s="728" t="s">
        <v>706</v>
      </c>
      <c r="D23" s="736"/>
      <c r="E23" s="736">
        <v>3530</v>
      </c>
      <c r="F23" s="738">
        <v>4563</v>
      </c>
      <c r="G23" s="737">
        <f t="shared" si="0"/>
        <v>1.2926345609065155</v>
      </c>
    </row>
    <row r="24" spans="1:7" ht="19.5" customHeight="1" x14ac:dyDescent="0.25">
      <c r="A24" s="728" t="s">
        <v>707</v>
      </c>
      <c r="D24" s="736"/>
      <c r="E24" s="736">
        <v>280</v>
      </c>
      <c r="F24" s="738">
        <v>482</v>
      </c>
      <c r="G24" s="737">
        <f t="shared" si="0"/>
        <v>1.7214285714285715</v>
      </c>
    </row>
    <row r="25" spans="1:7" ht="19.5" customHeight="1" x14ac:dyDescent="0.25">
      <c r="A25" s="728" t="s">
        <v>708</v>
      </c>
      <c r="D25" s="736"/>
      <c r="E25" s="736">
        <v>1200</v>
      </c>
      <c r="F25" s="738">
        <v>1177</v>
      </c>
      <c r="G25" s="737">
        <f t="shared" si="0"/>
        <v>0.98083333333333333</v>
      </c>
    </row>
    <row r="26" spans="1:7" ht="18.75" customHeight="1" x14ac:dyDescent="0.25">
      <c r="A26" s="728" t="s">
        <v>709</v>
      </c>
      <c r="D26" s="736"/>
      <c r="E26" s="736">
        <v>240</v>
      </c>
      <c r="F26" s="738">
        <v>246</v>
      </c>
      <c r="G26" s="737">
        <f t="shared" si="0"/>
        <v>1.0249999999999999</v>
      </c>
    </row>
    <row r="27" spans="1:7" ht="19.5" customHeight="1" x14ac:dyDescent="0.25">
      <c r="A27" s="728" t="s">
        <v>710</v>
      </c>
      <c r="D27" s="736"/>
      <c r="E27" s="736">
        <v>247</v>
      </c>
      <c r="F27" s="738">
        <v>0</v>
      </c>
      <c r="G27" s="737">
        <f t="shared" si="0"/>
        <v>0</v>
      </c>
    </row>
    <row r="28" spans="1:7" ht="21.75" customHeight="1" x14ac:dyDescent="0.25">
      <c r="A28" s="728" t="s">
        <v>711</v>
      </c>
      <c r="D28" s="736"/>
      <c r="E28" s="736">
        <v>306</v>
      </c>
      <c r="F28" s="738">
        <v>306</v>
      </c>
      <c r="G28" s="737">
        <f t="shared" si="0"/>
        <v>1</v>
      </c>
    </row>
    <row r="29" spans="1:7" ht="18.75" customHeight="1" x14ac:dyDescent="0.25">
      <c r="A29" s="728" t="s">
        <v>712</v>
      </c>
      <c r="D29" s="736"/>
      <c r="E29" s="736">
        <v>150</v>
      </c>
      <c r="F29" s="738">
        <v>0</v>
      </c>
      <c r="G29" s="737">
        <f t="shared" si="0"/>
        <v>0</v>
      </c>
    </row>
    <row r="30" spans="1:7" ht="18.75" customHeight="1" x14ac:dyDescent="0.25">
      <c r="A30" s="728" t="s">
        <v>713</v>
      </c>
      <c r="D30" s="733"/>
      <c r="E30" s="733">
        <f>SUM(E20:E29)</f>
        <v>43783</v>
      </c>
      <c r="F30" s="734">
        <f>SUM(F20:F29)</f>
        <v>41857</v>
      </c>
      <c r="G30" s="735">
        <f t="shared" si="0"/>
        <v>0.9560103236415961</v>
      </c>
    </row>
    <row r="31" spans="1:7" ht="18.75" customHeight="1" x14ac:dyDescent="0.25"/>
    <row r="33" spans="5:6" ht="15.75" x14ac:dyDescent="0.25">
      <c r="E33" s="731" t="s">
        <v>714</v>
      </c>
      <c r="F33" s="741">
        <v>1850</v>
      </c>
    </row>
  </sheetData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zoomScale="80" zoomScaleNormal="80" workbookViewId="0">
      <pane ySplit="1" topLeftCell="A11" activePane="bottomLeft" state="frozen"/>
      <selection sqref="A1:XFD1048576"/>
      <selection pane="bottomLeft" sqref="A1:XFD1048576"/>
    </sheetView>
  </sheetViews>
  <sheetFormatPr defaultRowHeight="16.5" customHeight="1" x14ac:dyDescent="0.2"/>
  <cols>
    <col min="1" max="1" width="27.28515625" style="305" customWidth="1"/>
    <col min="2" max="2" width="12.140625" style="307" customWidth="1"/>
    <col min="3" max="12" width="9.7109375" style="293" customWidth="1"/>
    <col min="13" max="14" width="9.5703125" style="293" customWidth="1"/>
    <col min="15" max="15" width="9.7109375" style="296" customWidth="1"/>
    <col min="16" max="16384" width="9.140625" style="293"/>
  </cols>
  <sheetData>
    <row r="1" spans="1:15" s="289" customFormat="1" ht="16.5" customHeight="1" x14ac:dyDescent="0.2">
      <c r="A1" s="287"/>
      <c r="B1" s="287"/>
      <c r="C1" s="287" t="s">
        <v>182</v>
      </c>
      <c r="D1" s="287" t="s">
        <v>157</v>
      </c>
      <c r="E1" s="287" t="s">
        <v>159</v>
      </c>
      <c r="F1" s="287" t="s">
        <v>183</v>
      </c>
      <c r="G1" s="287" t="s">
        <v>151</v>
      </c>
      <c r="H1" s="287" t="s">
        <v>181</v>
      </c>
      <c r="I1" s="287" t="s">
        <v>162</v>
      </c>
      <c r="J1" s="287" t="s">
        <v>154</v>
      </c>
      <c r="K1" s="287" t="s">
        <v>257</v>
      </c>
      <c r="L1" s="287" t="s">
        <v>153</v>
      </c>
      <c r="M1" s="287" t="s">
        <v>258</v>
      </c>
      <c r="N1" s="287" t="s">
        <v>152</v>
      </c>
      <c r="O1" s="288" t="s">
        <v>3</v>
      </c>
    </row>
    <row r="2" spans="1:15" ht="16.5" customHeight="1" x14ac:dyDescent="0.2">
      <c r="A2" s="290" t="s">
        <v>259</v>
      </c>
      <c r="B2" s="291">
        <v>51</v>
      </c>
      <c r="C2" s="292">
        <v>388</v>
      </c>
      <c r="D2" s="292">
        <v>1072</v>
      </c>
      <c r="E2" s="292">
        <v>355</v>
      </c>
      <c r="F2" s="292">
        <v>624</v>
      </c>
      <c r="G2" s="292">
        <v>605</v>
      </c>
      <c r="H2" s="292">
        <v>618</v>
      </c>
      <c r="I2" s="292">
        <v>93</v>
      </c>
      <c r="J2" s="292">
        <v>135</v>
      </c>
      <c r="K2" s="292"/>
      <c r="L2" s="292">
        <v>515</v>
      </c>
      <c r="M2" s="292">
        <v>151</v>
      </c>
      <c r="N2" s="292">
        <v>311</v>
      </c>
      <c r="O2" s="105">
        <f t="shared" ref="O2:O31" si="0">SUM(C2:N2)</f>
        <v>4867</v>
      </c>
    </row>
    <row r="3" spans="1:15" ht="24.75" customHeight="1" x14ac:dyDescent="0.2">
      <c r="A3" s="290" t="s">
        <v>260</v>
      </c>
      <c r="B3" s="291">
        <v>52</v>
      </c>
      <c r="C3" s="292">
        <v>2164</v>
      </c>
      <c r="D3" s="292">
        <v>2264</v>
      </c>
      <c r="E3" s="292">
        <v>4231</v>
      </c>
      <c r="F3" s="292">
        <v>3208</v>
      </c>
      <c r="G3" s="292">
        <v>3417</v>
      </c>
      <c r="H3" s="292">
        <v>7618</v>
      </c>
      <c r="I3" s="292">
        <v>5316</v>
      </c>
      <c r="J3" s="292">
        <v>3667</v>
      </c>
      <c r="K3" s="292"/>
      <c r="L3" s="292">
        <v>1405</v>
      </c>
      <c r="M3" s="292">
        <v>1269</v>
      </c>
      <c r="N3" s="292">
        <v>3744</v>
      </c>
      <c r="O3" s="105">
        <f t="shared" si="0"/>
        <v>38303</v>
      </c>
    </row>
    <row r="4" spans="1:15" ht="42" customHeight="1" x14ac:dyDescent="0.2">
      <c r="A4" s="290" t="s">
        <v>261</v>
      </c>
      <c r="B4" s="291">
        <v>53</v>
      </c>
      <c r="C4" s="292">
        <v>35</v>
      </c>
      <c r="D4" s="292">
        <v>109</v>
      </c>
      <c r="E4" s="292">
        <v>49</v>
      </c>
      <c r="F4" s="292">
        <v>36</v>
      </c>
      <c r="G4" s="292">
        <v>49</v>
      </c>
      <c r="H4" s="292">
        <v>35</v>
      </c>
      <c r="I4" s="292">
        <v>40</v>
      </c>
      <c r="J4" s="292">
        <v>48</v>
      </c>
      <c r="K4" s="292">
        <v>350</v>
      </c>
      <c r="L4" s="292">
        <v>14</v>
      </c>
      <c r="M4" s="292">
        <v>1</v>
      </c>
      <c r="N4" s="292">
        <v>53</v>
      </c>
      <c r="O4" s="105">
        <f t="shared" si="0"/>
        <v>819</v>
      </c>
    </row>
    <row r="5" spans="1:15" ht="16.5" customHeight="1" x14ac:dyDescent="0.2">
      <c r="A5" s="290" t="s">
        <v>262</v>
      </c>
      <c r="B5" s="291">
        <v>54</v>
      </c>
      <c r="C5" s="292">
        <v>15327</v>
      </c>
      <c r="D5" s="292">
        <v>17330</v>
      </c>
      <c r="E5" s="292">
        <v>22002</v>
      </c>
      <c r="F5" s="292">
        <v>16588</v>
      </c>
      <c r="G5" s="292">
        <v>24381</v>
      </c>
      <c r="H5" s="292">
        <v>9995</v>
      </c>
      <c r="I5" s="292">
        <v>10798</v>
      </c>
      <c r="J5" s="292">
        <v>19720</v>
      </c>
      <c r="K5" s="292"/>
      <c r="L5" s="292">
        <v>7159</v>
      </c>
      <c r="M5" s="292">
        <v>3961</v>
      </c>
      <c r="N5" s="292">
        <v>16146</v>
      </c>
      <c r="O5" s="105">
        <f t="shared" si="0"/>
        <v>163407</v>
      </c>
    </row>
    <row r="6" spans="1:15" ht="27.75" customHeight="1" x14ac:dyDescent="0.2">
      <c r="A6" s="290" t="s">
        <v>263</v>
      </c>
      <c r="B6" s="291">
        <v>55</v>
      </c>
      <c r="C6" s="292">
        <v>596</v>
      </c>
      <c r="D6" s="292">
        <v>643</v>
      </c>
      <c r="E6" s="292">
        <v>1585</v>
      </c>
      <c r="F6" s="292">
        <v>1049</v>
      </c>
      <c r="G6" s="292">
        <v>717</v>
      </c>
      <c r="H6" s="292">
        <v>667</v>
      </c>
      <c r="I6" s="292">
        <v>1278</v>
      </c>
      <c r="J6" s="292">
        <v>780</v>
      </c>
      <c r="K6" s="292"/>
      <c r="L6" s="292">
        <v>227</v>
      </c>
      <c r="M6" s="292">
        <v>426</v>
      </c>
      <c r="N6" s="292">
        <v>380</v>
      </c>
      <c r="O6" s="105">
        <f t="shared" si="0"/>
        <v>8348</v>
      </c>
    </row>
    <row r="7" spans="1:15" ht="16.5" customHeight="1" x14ac:dyDescent="0.2">
      <c r="A7" s="290" t="s">
        <v>264</v>
      </c>
      <c r="B7" s="291">
        <v>56</v>
      </c>
      <c r="C7" s="292">
        <v>3947</v>
      </c>
      <c r="D7" s="292">
        <v>4388</v>
      </c>
      <c r="E7" s="292">
        <v>5693</v>
      </c>
      <c r="F7" s="292">
        <v>4278</v>
      </c>
      <c r="G7" s="292">
        <v>6165</v>
      </c>
      <c r="H7" s="292">
        <v>2744</v>
      </c>
      <c r="I7" s="292">
        <v>2977</v>
      </c>
      <c r="J7" s="292">
        <v>5120</v>
      </c>
      <c r="K7" s="292"/>
      <c r="L7" s="292">
        <v>1682</v>
      </c>
      <c r="M7" s="292">
        <v>972</v>
      </c>
      <c r="N7" s="292">
        <v>4300</v>
      </c>
      <c r="O7" s="105">
        <f t="shared" si="0"/>
        <v>42266</v>
      </c>
    </row>
    <row r="8" spans="1:15" ht="16.5" customHeight="1" x14ac:dyDescent="0.2">
      <c r="A8" s="290" t="s">
        <v>265</v>
      </c>
      <c r="B8" s="291">
        <v>57</v>
      </c>
      <c r="C8" s="292">
        <v>1807</v>
      </c>
      <c r="D8" s="292">
        <v>606</v>
      </c>
      <c r="E8" s="292">
        <v>237</v>
      </c>
      <c r="F8" s="292">
        <v>486</v>
      </c>
      <c r="G8" s="292">
        <v>1023</v>
      </c>
      <c r="H8" s="292">
        <v>2705</v>
      </c>
      <c r="I8" s="292">
        <v>73</v>
      </c>
      <c r="J8" s="292">
        <v>237</v>
      </c>
      <c r="K8" s="292">
        <v>67</v>
      </c>
      <c r="L8" s="292">
        <v>365</v>
      </c>
      <c r="M8" s="292">
        <v>88</v>
      </c>
      <c r="N8" s="292">
        <v>944</v>
      </c>
      <c r="O8" s="105">
        <f t="shared" si="0"/>
        <v>8638</v>
      </c>
    </row>
    <row r="9" spans="1:15" ht="25.5" customHeight="1" x14ac:dyDescent="0.2">
      <c r="A9" s="290" t="s">
        <v>266</v>
      </c>
      <c r="B9" s="291">
        <v>815</v>
      </c>
      <c r="C9" s="292"/>
      <c r="D9" s="292"/>
      <c r="E9" s="292"/>
      <c r="F9" s="292"/>
      <c r="G9" s="292"/>
      <c r="H9" s="292"/>
      <c r="I9" s="292"/>
      <c r="J9" s="292"/>
      <c r="K9" s="292"/>
      <c r="L9" s="292">
        <v>6</v>
      </c>
      <c r="M9" s="292"/>
      <c r="N9" s="292">
        <v>1</v>
      </c>
      <c r="O9" s="105">
        <f t="shared" si="0"/>
        <v>7</v>
      </c>
    </row>
    <row r="10" spans="1:15" ht="16.5" customHeight="1" x14ac:dyDescent="0.2">
      <c r="A10" s="290" t="s">
        <v>267</v>
      </c>
      <c r="B10" s="291" t="s">
        <v>268</v>
      </c>
      <c r="C10" s="292"/>
      <c r="D10" s="292"/>
      <c r="E10" s="292"/>
      <c r="F10" s="292"/>
      <c r="G10" s="292"/>
      <c r="H10" s="292"/>
      <c r="I10" s="292"/>
      <c r="J10" s="292"/>
      <c r="K10" s="292"/>
      <c r="L10" s="292"/>
      <c r="M10" s="292"/>
      <c r="N10" s="292"/>
      <c r="O10" s="105">
        <f t="shared" si="0"/>
        <v>0</v>
      </c>
    </row>
    <row r="11" spans="1:15" s="296" customFormat="1" ht="24.75" customHeight="1" x14ac:dyDescent="0.2">
      <c r="A11" s="294" t="s">
        <v>269</v>
      </c>
      <c r="B11" s="295"/>
      <c r="C11" s="105">
        <f>SUM(C2:C10)</f>
        <v>24264</v>
      </c>
      <c r="D11" s="105">
        <f t="shared" ref="D11:N11" si="1">SUM(D2:D10)</f>
        <v>26412</v>
      </c>
      <c r="E11" s="105">
        <f t="shared" si="1"/>
        <v>34152</v>
      </c>
      <c r="F11" s="105">
        <f t="shared" si="1"/>
        <v>26269</v>
      </c>
      <c r="G11" s="105">
        <f t="shared" si="1"/>
        <v>36357</v>
      </c>
      <c r="H11" s="105">
        <f t="shared" si="1"/>
        <v>24382</v>
      </c>
      <c r="I11" s="105">
        <f t="shared" si="1"/>
        <v>20575</v>
      </c>
      <c r="J11" s="105">
        <f t="shared" si="1"/>
        <v>29707</v>
      </c>
      <c r="K11" s="105">
        <f t="shared" si="1"/>
        <v>417</v>
      </c>
      <c r="L11" s="105">
        <f t="shared" si="1"/>
        <v>11373</v>
      </c>
      <c r="M11" s="105">
        <f t="shared" si="1"/>
        <v>6868</v>
      </c>
      <c r="N11" s="105">
        <f t="shared" si="1"/>
        <v>25879</v>
      </c>
      <c r="O11" s="105">
        <f t="shared" si="0"/>
        <v>266655</v>
      </c>
    </row>
    <row r="12" spans="1:15" ht="16.5" customHeight="1" x14ac:dyDescent="0.2">
      <c r="A12" s="290" t="s">
        <v>270</v>
      </c>
      <c r="B12" s="291">
        <v>51</v>
      </c>
      <c r="C12" s="292">
        <v>115</v>
      </c>
      <c r="D12" s="292">
        <v>125</v>
      </c>
      <c r="E12" s="292">
        <v>162</v>
      </c>
      <c r="F12" s="292">
        <v>124</v>
      </c>
      <c r="G12" s="292">
        <v>172</v>
      </c>
      <c r="H12" s="292">
        <v>116</v>
      </c>
      <c r="I12" s="292">
        <v>97</v>
      </c>
      <c r="J12" s="292">
        <v>141</v>
      </c>
      <c r="K12" s="292"/>
      <c r="L12" s="292">
        <v>54</v>
      </c>
      <c r="M12" s="292">
        <v>32</v>
      </c>
      <c r="N12" s="292">
        <v>123</v>
      </c>
      <c r="O12" s="105">
        <f t="shared" si="0"/>
        <v>1261</v>
      </c>
    </row>
    <row r="13" spans="1:15" ht="24.75" customHeight="1" x14ac:dyDescent="0.2">
      <c r="A13" s="290" t="s">
        <v>271</v>
      </c>
      <c r="B13" s="291">
        <v>52</v>
      </c>
      <c r="C13" s="292">
        <v>453</v>
      </c>
      <c r="D13" s="292">
        <v>502</v>
      </c>
      <c r="E13" s="292">
        <v>638</v>
      </c>
      <c r="F13" s="292">
        <v>495</v>
      </c>
      <c r="G13" s="292">
        <v>687</v>
      </c>
      <c r="H13" s="292">
        <v>465</v>
      </c>
      <c r="I13" s="292">
        <v>397</v>
      </c>
      <c r="J13" s="292">
        <v>562</v>
      </c>
      <c r="K13" s="292"/>
      <c r="L13" s="292">
        <v>215</v>
      </c>
      <c r="M13" s="292">
        <v>130</v>
      </c>
      <c r="N13" s="292">
        <v>489</v>
      </c>
      <c r="O13" s="105">
        <f t="shared" si="0"/>
        <v>5033</v>
      </c>
    </row>
    <row r="14" spans="1:15" ht="40.5" customHeight="1" x14ac:dyDescent="0.2">
      <c r="A14" s="290" t="s">
        <v>272</v>
      </c>
      <c r="B14" s="291">
        <v>53</v>
      </c>
      <c r="C14" s="292">
        <v>110</v>
      </c>
      <c r="D14" s="292">
        <v>120</v>
      </c>
      <c r="E14" s="292">
        <v>156</v>
      </c>
      <c r="F14" s="292">
        <v>119</v>
      </c>
      <c r="G14" s="292">
        <v>166</v>
      </c>
      <c r="H14" s="292">
        <v>111</v>
      </c>
      <c r="I14" s="292">
        <v>94</v>
      </c>
      <c r="J14" s="292">
        <v>135</v>
      </c>
      <c r="K14" s="292"/>
      <c r="L14" s="292">
        <v>51</v>
      </c>
      <c r="M14" s="292">
        <v>32</v>
      </c>
      <c r="N14" s="292">
        <v>117</v>
      </c>
      <c r="O14" s="105">
        <f t="shared" si="0"/>
        <v>1211</v>
      </c>
    </row>
    <row r="15" spans="1:15" ht="16.5" customHeight="1" x14ac:dyDescent="0.2">
      <c r="A15" s="290" t="s">
        <v>273</v>
      </c>
      <c r="B15" s="291">
        <v>54</v>
      </c>
      <c r="C15" s="292">
        <v>1718</v>
      </c>
      <c r="D15" s="292">
        <v>1879</v>
      </c>
      <c r="E15" s="292">
        <v>2417</v>
      </c>
      <c r="F15" s="292">
        <v>1864</v>
      </c>
      <c r="G15" s="292">
        <v>2582</v>
      </c>
      <c r="H15" s="292">
        <v>1736</v>
      </c>
      <c r="I15" s="292">
        <v>1469</v>
      </c>
      <c r="J15" s="292">
        <v>2110</v>
      </c>
      <c r="K15" s="292"/>
      <c r="L15" s="292">
        <v>808</v>
      </c>
      <c r="M15" s="292">
        <v>488</v>
      </c>
      <c r="N15" s="292">
        <v>1837</v>
      </c>
      <c r="O15" s="105">
        <f t="shared" si="0"/>
        <v>18908</v>
      </c>
    </row>
    <row r="16" spans="1:15" ht="24.75" customHeight="1" x14ac:dyDescent="0.2">
      <c r="A16" s="290" t="s">
        <v>274</v>
      </c>
      <c r="B16" s="291">
        <v>55</v>
      </c>
      <c r="C16" s="292">
        <v>100</v>
      </c>
      <c r="D16" s="292">
        <v>113</v>
      </c>
      <c r="E16" s="292">
        <v>140</v>
      </c>
      <c r="F16" s="292">
        <v>110</v>
      </c>
      <c r="G16" s="292">
        <v>152</v>
      </c>
      <c r="H16" s="292">
        <v>105</v>
      </c>
      <c r="I16" s="292">
        <v>90</v>
      </c>
      <c r="J16" s="292">
        <v>125</v>
      </c>
      <c r="K16" s="292"/>
      <c r="L16" s="292">
        <v>48</v>
      </c>
      <c r="M16" s="292">
        <v>29</v>
      </c>
      <c r="N16" s="292">
        <v>108</v>
      </c>
      <c r="O16" s="105">
        <f t="shared" si="0"/>
        <v>1120</v>
      </c>
    </row>
    <row r="17" spans="1:15" ht="16.5" customHeight="1" x14ac:dyDescent="0.2">
      <c r="A17" s="290" t="s">
        <v>275</v>
      </c>
      <c r="B17" s="291">
        <v>56</v>
      </c>
      <c r="C17" s="292">
        <v>532</v>
      </c>
      <c r="D17" s="292">
        <v>583</v>
      </c>
      <c r="E17" s="292">
        <v>748</v>
      </c>
      <c r="F17" s="292">
        <v>578</v>
      </c>
      <c r="G17" s="292">
        <v>800</v>
      </c>
      <c r="H17" s="292">
        <v>539</v>
      </c>
      <c r="I17" s="292">
        <v>457</v>
      </c>
      <c r="J17" s="292">
        <v>654</v>
      </c>
      <c r="K17" s="292"/>
      <c r="L17" s="292">
        <v>251</v>
      </c>
      <c r="M17" s="292">
        <v>151</v>
      </c>
      <c r="N17" s="292">
        <v>570</v>
      </c>
      <c r="O17" s="105">
        <f t="shared" si="0"/>
        <v>5863</v>
      </c>
    </row>
    <row r="18" spans="1:15" ht="16.5" customHeight="1" x14ac:dyDescent="0.2">
      <c r="A18" s="290" t="s">
        <v>276</v>
      </c>
      <c r="B18" s="291">
        <v>57</v>
      </c>
      <c r="C18" s="292">
        <v>128</v>
      </c>
      <c r="D18" s="292">
        <v>139</v>
      </c>
      <c r="E18" s="292">
        <v>180</v>
      </c>
      <c r="F18" s="292">
        <v>138</v>
      </c>
      <c r="G18" s="292">
        <v>191</v>
      </c>
      <c r="H18" s="292">
        <v>128</v>
      </c>
      <c r="I18" s="292">
        <v>108</v>
      </c>
      <c r="J18" s="292">
        <v>156</v>
      </c>
      <c r="K18" s="292"/>
      <c r="L18" s="292">
        <v>60</v>
      </c>
      <c r="M18" s="292">
        <v>36</v>
      </c>
      <c r="N18" s="292">
        <v>136</v>
      </c>
      <c r="O18" s="105">
        <f t="shared" si="0"/>
        <v>1400</v>
      </c>
    </row>
    <row r="19" spans="1:15" ht="24.75" customHeight="1" x14ac:dyDescent="0.2">
      <c r="A19" s="290" t="s">
        <v>277</v>
      </c>
      <c r="B19" s="291">
        <v>815</v>
      </c>
      <c r="C19" s="292">
        <v>2</v>
      </c>
      <c r="D19" s="292">
        <v>2</v>
      </c>
      <c r="E19" s="292">
        <v>2</v>
      </c>
      <c r="F19" s="292">
        <v>2</v>
      </c>
      <c r="G19" s="292">
        <v>2</v>
      </c>
      <c r="H19" s="292">
        <v>1</v>
      </c>
      <c r="I19" s="292">
        <v>1</v>
      </c>
      <c r="J19" s="292">
        <v>2</v>
      </c>
      <c r="K19" s="292"/>
      <c r="L19" s="292">
        <v>1</v>
      </c>
      <c r="M19" s="292"/>
      <c r="N19" s="292">
        <v>2</v>
      </c>
      <c r="O19" s="105">
        <f t="shared" si="0"/>
        <v>17</v>
      </c>
    </row>
    <row r="20" spans="1:15" ht="16.5" customHeight="1" x14ac:dyDescent="0.2">
      <c r="A20" s="290" t="s">
        <v>278</v>
      </c>
      <c r="B20" s="291" t="s">
        <v>268</v>
      </c>
      <c r="C20" s="292">
        <v>33</v>
      </c>
      <c r="D20" s="292">
        <v>36</v>
      </c>
      <c r="E20" s="292">
        <v>47</v>
      </c>
      <c r="F20" s="292">
        <v>36</v>
      </c>
      <c r="G20" s="292">
        <v>50</v>
      </c>
      <c r="H20" s="292">
        <v>33</v>
      </c>
      <c r="I20" s="292">
        <v>28</v>
      </c>
      <c r="J20" s="292">
        <v>41</v>
      </c>
      <c r="K20" s="292">
        <v>1</v>
      </c>
      <c r="L20" s="292">
        <v>16</v>
      </c>
      <c r="M20" s="292">
        <v>9</v>
      </c>
      <c r="N20" s="292">
        <v>35</v>
      </c>
      <c r="O20" s="105">
        <f t="shared" si="0"/>
        <v>365</v>
      </c>
    </row>
    <row r="21" spans="1:15" s="296" customFormat="1" ht="24.75" customHeight="1" x14ac:dyDescent="0.2">
      <c r="A21" s="294" t="s">
        <v>279</v>
      </c>
      <c r="B21" s="295"/>
      <c r="C21" s="105">
        <f>SUM(C12:C20)</f>
        <v>3191</v>
      </c>
      <c r="D21" s="105">
        <f t="shared" ref="D21:N21" si="2">SUM(D12:D20)</f>
        <v>3499</v>
      </c>
      <c r="E21" s="105">
        <f t="shared" si="2"/>
        <v>4490</v>
      </c>
      <c r="F21" s="105">
        <f t="shared" si="2"/>
        <v>3466</v>
      </c>
      <c r="G21" s="105">
        <f t="shared" si="2"/>
        <v>4802</v>
      </c>
      <c r="H21" s="105">
        <f t="shared" si="2"/>
        <v>3234</v>
      </c>
      <c r="I21" s="105">
        <f t="shared" si="2"/>
        <v>2741</v>
      </c>
      <c r="J21" s="105">
        <f t="shared" si="2"/>
        <v>3926</v>
      </c>
      <c r="K21" s="105">
        <f t="shared" si="2"/>
        <v>1</v>
      </c>
      <c r="L21" s="105">
        <f t="shared" si="2"/>
        <v>1504</v>
      </c>
      <c r="M21" s="105">
        <f t="shared" si="2"/>
        <v>907</v>
      </c>
      <c r="N21" s="105">
        <f t="shared" si="2"/>
        <v>3417</v>
      </c>
      <c r="O21" s="105">
        <f t="shared" si="0"/>
        <v>35178</v>
      </c>
    </row>
    <row r="22" spans="1:15" s="296" customFormat="1" ht="16.5" customHeight="1" thickBot="1" x14ac:dyDescent="0.25">
      <c r="A22" s="297" t="s">
        <v>280</v>
      </c>
      <c r="B22" s="298"/>
      <c r="C22" s="299">
        <f>SUM(C21,C11)</f>
        <v>27455</v>
      </c>
      <c r="D22" s="299">
        <f t="shared" ref="D22:N22" si="3">SUM(D21,D11)</f>
        <v>29911</v>
      </c>
      <c r="E22" s="299">
        <f t="shared" si="3"/>
        <v>38642</v>
      </c>
      <c r="F22" s="299">
        <f t="shared" si="3"/>
        <v>29735</v>
      </c>
      <c r="G22" s="299">
        <f t="shared" si="3"/>
        <v>41159</v>
      </c>
      <c r="H22" s="299">
        <f t="shared" si="3"/>
        <v>27616</v>
      </c>
      <c r="I22" s="299">
        <f t="shared" si="3"/>
        <v>23316</v>
      </c>
      <c r="J22" s="299">
        <f t="shared" si="3"/>
        <v>33633</v>
      </c>
      <c r="K22" s="299">
        <f t="shared" si="3"/>
        <v>418</v>
      </c>
      <c r="L22" s="299">
        <f t="shared" si="3"/>
        <v>12877</v>
      </c>
      <c r="M22" s="299">
        <f t="shared" si="3"/>
        <v>7775</v>
      </c>
      <c r="N22" s="299">
        <f t="shared" si="3"/>
        <v>29296</v>
      </c>
      <c r="O22" s="299">
        <f t="shared" si="0"/>
        <v>301833</v>
      </c>
    </row>
    <row r="23" spans="1:15" ht="16.5" customHeight="1" x14ac:dyDescent="0.2">
      <c r="A23" s="300" t="s">
        <v>281</v>
      </c>
      <c r="B23" s="301" t="s">
        <v>282</v>
      </c>
      <c r="C23" s="302">
        <v>20735</v>
      </c>
      <c r="D23" s="302">
        <v>26944</v>
      </c>
      <c r="E23" s="302">
        <v>47457</v>
      </c>
      <c r="F23" s="302">
        <v>25544</v>
      </c>
      <c r="G23" s="302">
        <v>40534</v>
      </c>
      <c r="H23" s="302">
        <v>30009</v>
      </c>
      <c r="I23" s="302">
        <v>21686</v>
      </c>
      <c r="J23" s="302">
        <v>32897</v>
      </c>
      <c r="K23" s="302"/>
      <c r="L23" s="302">
        <v>12574</v>
      </c>
      <c r="M23" s="302">
        <v>7121</v>
      </c>
      <c r="N23" s="302">
        <v>32216</v>
      </c>
      <c r="O23" s="303">
        <f t="shared" si="0"/>
        <v>297717</v>
      </c>
    </row>
    <row r="24" spans="1:15" ht="16.5" customHeight="1" x14ac:dyDescent="0.2">
      <c r="A24" s="304" t="s">
        <v>283</v>
      </c>
      <c r="B24" s="291">
        <v>9117</v>
      </c>
      <c r="C24" s="292">
        <v>20524</v>
      </c>
      <c r="D24" s="292">
        <v>26812</v>
      </c>
      <c r="E24" s="292">
        <v>47370</v>
      </c>
      <c r="F24" s="292">
        <v>25479</v>
      </c>
      <c r="G24" s="292">
        <v>39728</v>
      </c>
      <c r="H24" s="292">
        <v>29935</v>
      </c>
      <c r="I24" s="292">
        <v>21647</v>
      </c>
      <c r="J24" s="292">
        <v>32697</v>
      </c>
      <c r="K24" s="292"/>
      <c r="L24" s="292">
        <v>12433</v>
      </c>
      <c r="M24" s="292">
        <v>7109</v>
      </c>
      <c r="N24" s="292">
        <v>30268</v>
      </c>
      <c r="O24" s="105">
        <f t="shared" si="0"/>
        <v>294002</v>
      </c>
    </row>
    <row r="25" spans="1:15" ht="16.5" customHeight="1" x14ac:dyDescent="0.2">
      <c r="A25" s="290" t="s">
        <v>284</v>
      </c>
      <c r="B25" s="291" t="s">
        <v>285</v>
      </c>
      <c r="C25" s="292">
        <f>C23-C24</f>
        <v>211</v>
      </c>
      <c r="D25" s="292">
        <f t="shared" ref="D25:N25" si="4">D23-D24</f>
        <v>132</v>
      </c>
      <c r="E25" s="292">
        <f t="shared" si="4"/>
        <v>87</v>
      </c>
      <c r="F25" s="292">
        <f t="shared" si="4"/>
        <v>65</v>
      </c>
      <c r="G25" s="292">
        <f t="shared" si="4"/>
        <v>806</v>
      </c>
      <c r="H25" s="292">
        <f t="shared" si="4"/>
        <v>74</v>
      </c>
      <c r="I25" s="292">
        <f t="shared" si="4"/>
        <v>39</v>
      </c>
      <c r="J25" s="292">
        <f t="shared" si="4"/>
        <v>200</v>
      </c>
      <c r="K25" s="292">
        <f t="shared" si="4"/>
        <v>0</v>
      </c>
      <c r="L25" s="292">
        <f t="shared" si="4"/>
        <v>141</v>
      </c>
      <c r="M25" s="292">
        <f t="shared" si="4"/>
        <v>12</v>
      </c>
      <c r="N25" s="292">
        <f t="shared" si="4"/>
        <v>1948</v>
      </c>
      <c r="O25" s="105">
        <f t="shared" si="0"/>
        <v>3715</v>
      </c>
    </row>
    <row r="26" spans="1:15" ht="16.5" customHeight="1" x14ac:dyDescent="0.2">
      <c r="A26" s="290" t="s">
        <v>286</v>
      </c>
      <c r="B26" s="291" t="s">
        <v>287</v>
      </c>
      <c r="C26" s="292">
        <f>2737-626</f>
        <v>2111</v>
      </c>
      <c r="D26" s="292">
        <f>4104-1687</f>
        <v>2417</v>
      </c>
      <c r="E26" s="292">
        <f>3351-377</f>
        <v>2974</v>
      </c>
      <c r="F26" s="292">
        <f>3140-802</f>
        <v>2338</v>
      </c>
      <c r="G26" s="292">
        <f>4358-1099</f>
        <v>3259</v>
      </c>
      <c r="H26" s="292">
        <f>4583-2329</f>
        <v>2254</v>
      </c>
      <c r="I26" s="292">
        <f>2196-241</f>
        <v>1955</v>
      </c>
      <c r="J26" s="292">
        <f>3116-442</f>
        <v>2674</v>
      </c>
      <c r="K26" s="292"/>
      <c r="L26" s="292">
        <f>1189-165</f>
        <v>1024</v>
      </c>
      <c r="M26" s="292">
        <f>722-105</f>
        <v>617</v>
      </c>
      <c r="N26" s="292">
        <f>2910-590</f>
        <v>2320</v>
      </c>
      <c r="O26" s="105">
        <f t="shared" si="0"/>
        <v>23943</v>
      </c>
    </row>
    <row r="27" spans="1:15" ht="32.25" customHeight="1" x14ac:dyDescent="0.2">
      <c r="A27" s="304" t="s">
        <v>288</v>
      </c>
      <c r="B27" s="291">
        <v>9635</v>
      </c>
      <c r="C27" s="292">
        <v>2094</v>
      </c>
      <c r="D27" s="292">
        <v>2398</v>
      </c>
      <c r="E27" s="292">
        <v>2936</v>
      </c>
      <c r="F27" s="292">
        <v>2318</v>
      </c>
      <c r="G27" s="292">
        <v>3231</v>
      </c>
      <c r="H27" s="292">
        <v>2234</v>
      </c>
      <c r="I27" s="292">
        <v>1939</v>
      </c>
      <c r="J27" s="292">
        <v>2652</v>
      </c>
      <c r="K27" s="292"/>
      <c r="L27" s="292">
        <v>1015</v>
      </c>
      <c r="M27" s="292">
        <v>612</v>
      </c>
      <c r="N27" s="292">
        <v>2300</v>
      </c>
      <c r="O27" s="105">
        <f t="shared" si="0"/>
        <v>23729</v>
      </c>
    </row>
    <row r="28" spans="1:15" ht="16.5" customHeight="1" x14ac:dyDescent="0.2">
      <c r="A28" s="290" t="s">
        <v>289</v>
      </c>
      <c r="B28" s="291">
        <v>97</v>
      </c>
      <c r="C28" s="292">
        <v>1</v>
      </c>
      <c r="D28" s="292">
        <v>2</v>
      </c>
      <c r="E28" s="292">
        <v>2</v>
      </c>
      <c r="F28" s="292">
        <v>1</v>
      </c>
      <c r="G28" s="292">
        <v>2</v>
      </c>
      <c r="H28" s="292">
        <v>1</v>
      </c>
      <c r="I28" s="292">
        <v>1</v>
      </c>
      <c r="J28" s="292">
        <v>2</v>
      </c>
      <c r="K28" s="292"/>
      <c r="L28" s="292">
        <v>1</v>
      </c>
      <c r="M28" s="292"/>
      <c r="N28" s="292">
        <v>2</v>
      </c>
      <c r="O28" s="105">
        <f t="shared" si="0"/>
        <v>15</v>
      </c>
    </row>
    <row r="29" spans="1:15" ht="16.5" customHeight="1" x14ac:dyDescent="0.2">
      <c r="A29" s="290" t="s">
        <v>290</v>
      </c>
      <c r="B29" s="291">
        <v>9698</v>
      </c>
      <c r="C29" s="292">
        <v>626</v>
      </c>
      <c r="D29" s="292">
        <v>1687</v>
      </c>
      <c r="E29" s="292">
        <v>377</v>
      </c>
      <c r="F29" s="292">
        <v>802</v>
      </c>
      <c r="G29" s="292">
        <v>1099</v>
      </c>
      <c r="H29" s="292">
        <v>2329</v>
      </c>
      <c r="I29" s="292">
        <v>241</v>
      </c>
      <c r="J29" s="292">
        <v>442</v>
      </c>
      <c r="K29" s="292">
        <v>100</v>
      </c>
      <c r="L29" s="292">
        <v>165</v>
      </c>
      <c r="M29" s="292">
        <v>105</v>
      </c>
      <c r="N29" s="292">
        <v>590</v>
      </c>
      <c r="O29" s="105">
        <f t="shared" si="0"/>
        <v>8563</v>
      </c>
    </row>
    <row r="30" spans="1:15" s="296" customFormat="1" ht="16.5" customHeight="1" x14ac:dyDescent="0.2">
      <c r="A30" s="294" t="s">
        <v>17</v>
      </c>
      <c r="B30" s="295"/>
      <c r="C30" s="105">
        <f>SUM(C23,C26,C28:C29)</f>
        <v>23473</v>
      </c>
      <c r="D30" s="105">
        <f t="shared" ref="D30:N30" si="5">SUM(D23,D26,D28:D29)</f>
        <v>31050</v>
      </c>
      <c r="E30" s="105">
        <f t="shared" si="5"/>
        <v>50810</v>
      </c>
      <c r="F30" s="105">
        <f t="shared" si="5"/>
        <v>28685</v>
      </c>
      <c r="G30" s="105">
        <f t="shared" si="5"/>
        <v>44894</v>
      </c>
      <c r="H30" s="105">
        <f t="shared" si="5"/>
        <v>34593</v>
      </c>
      <c r="I30" s="105">
        <f t="shared" si="5"/>
        <v>23883</v>
      </c>
      <c r="J30" s="105">
        <f t="shared" si="5"/>
        <v>36015</v>
      </c>
      <c r="K30" s="105">
        <f t="shared" si="5"/>
        <v>100</v>
      </c>
      <c r="L30" s="105">
        <f t="shared" si="5"/>
        <v>13764</v>
      </c>
      <c r="M30" s="105">
        <f t="shared" si="5"/>
        <v>7843</v>
      </c>
      <c r="N30" s="105">
        <f t="shared" si="5"/>
        <v>35128</v>
      </c>
      <c r="O30" s="105">
        <f t="shared" si="0"/>
        <v>330238</v>
      </c>
    </row>
    <row r="31" spans="1:15" s="296" customFormat="1" ht="16.5" customHeight="1" x14ac:dyDescent="0.2">
      <c r="A31" s="294" t="s">
        <v>291</v>
      </c>
      <c r="B31" s="295"/>
      <c r="C31" s="105">
        <f>C30-C22</f>
        <v>-3982</v>
      </c>
      <c r="D31" s="105">
        <f t="shared" ref="D31:N31" si="6">D30-D22</f>
        <v>1139</v>
      </c>
      <c r="E31" s="105">
        <f t="shared" si="6"/>
        <v>12168</v>
      </c>
      <c r="F31" s="105">
        <f t="shared" si="6"/>
        <v>-1050</v>
      </c>
      <c r="G31" s="105">
        <f t="shared" si="6"/>
        <v>3735</v>
      </c>
      <c r="H31" s="105">
        <f t="shared" si="6"/>
        <v>6977</v>
      </c>
      <c r="I31" s="105">
        <f t="shared" si="6"/>
        <v>567</v>
      </c>
      <c r="J31" s="105">
        <f t="shared" si="6"/>
        <v>2382</v>
      </c>
      <c r="K31" s="105">
        <f t="shared" si="6"/>
        <v>-318</v>
      </c>
      <c r="L31" s="105">
        <f t="shared" si="6"/>
        <v>887</v>
      </c>
      <c r="M31" s="105">
        <f t="shared" si="6"/>
        <v>68</v>
      </c>
      <c r="N31" s="105">
        <f t="shared" si="6"/>
        <v>5832</v>
      </c>
      <c r="O31" s="105">
        <f t="shared" si="0"/>
        <v>28405</v>
      </c>
    </row>
    <row r="32" spans="1:15" ht="16.5" customHeight="1" x14ac:dyDescent="0.2">
      <c r="B32" s="293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</row>
    <row r="33" spans="2:15" ht="16.5" customHeight="1" x14ac:dyDescent="0.2">
      <c r="B33" s="293"/>
      <c r="O33" s="293"/>
    </row>
    <row r="34" spans="2:15" ht="16.5" customHeight="1" x14ac:dyDescent="0.2">
      <c r="B34" s="293"/>
      <c r="C34" s="306">
        <f>ROUND(C32,0)</f>
        <v>0</v>
      </c>
      <c r="D34" s="306">
        <f t="shared" ref="D34:N34" si="7">ROUND(D32,0)</f>
        <v>0</v>
      </c>
      <c r="E34" s="306">
        <f t="shared" si="7"/>
        <v>0</v>
      </c>
      <c r="F34" s="306">
        <f t="shared" si="7"/>
        <v>0</v>
      </c>
      <c r="G34" s="306">
        <f t="shared" si="7"/>
        <v>0</v>
      </c>
      <c r="H34" s="306">
        <f t="shared" si="7"/>
        <v>0</v>
      </c>
      <c r="I34" s="306">
        <f t="shared" si="7"/>
        <v>0</v>
      </c>
      <c r="J34" s="306">
        <f t="shared" si="7"/>
        <v>0</v>
      </c>
      <c r="K34" s="306">
        <f t="shared" si="7"/>
        <v>0</v>
      </c>
      <c r="L34" s="306">
        <f t="shared" si="7"/>
        <v>0</v>
      </c>
      <c r="M34" s="306">
        <f t="shared" si="7"/>
        <v>0</v>
      </c>
      <c r="N34" s="306">
        <f t="shared" si="7"/>
        <v>0</v>
      </c>
      <c r="O34" s="306">
        <f>SUM(C34:M34)</f>
        <v>0</v>
      </c>
    </row>
    <row r="35" spans="2:15" ht="16.5" customHeight="1" x14ac:dyDescent="0.2">
      <c r="B35" s="293"/>
      <c r="O35" s="293"/>
    </row>
    <row r="36" spans="2:15" ht="16.5" customHeight="1" x14ac:dyDescent="0.2">
      <c r="B36" s="293"/>
      <c r="O36" s="293"/>
    </row>
    <row r="37" spans="2:15" ht="16.5" customHeight="1" x14ac:dyDescent="0.2">
      <c r="B37" s="293"/>
      <c r="O37" s="293"/>
    </row>
    <row r="38" spans="2:15" ht="16.5" customHeight="1" x14ac:dyDescent="0.2">
      <c r="B38" s="293"/>
      <c r="O38" s="293"/>
    </row>
    <row r="39" spans="2:15" ht="16.5" customHeight="1" x14ac:dyDescent="0.2">
      <c r="B39" s="293"/>
      <c r="O39" s="293"/>
    </row>
    <row r="40" spans="2:15" ht="16.5" customHeight="1" x14ac:dyDescent="0.2">
      <c r="B40" s="293"/>
      <c r="O40" s="293"/>
    </row>
  </sheetData>
  <conditionalFormatting sqref="A1:XFD30 A32:IM65526">
    <cfRule type="cellIs" dxfId="4" priority="1" stopIfTrue="1" operator="equal">
      <formula>0</formula>
    </cfRule>
  </conditionalFormatting>
  <printOptions horizontalCentered="1" verticalCentered="1"/>
  <pageMargins left="0" right="0" top="0.51181102362204722" bottom="0.31496062992125984" header="0.31496062992125984" footer="0.31496062992125984"/>
  <pageSetup paperSize="9" scale="85" orientation="landscape" r:id="rId1"/>
  <headerFooter alignWithMargins="0">
    <oddHeader>&amp;CEredménykimutatás Járóbeteg szakterületenként 2016.év Visegrádi u. (e Ft)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2"/>
  <sheetViews>
    <sheetView zoomScale="65" zoomScaleNormal="65" workbookViewId="0">
      <pane ySplit="1" topLeftCell="A23" activePane="bottomLeft" state="frozen"/>
      <selection sqref="A1:XFD1048576"/>
      <selection pane="bottomLeft" sqref="A1:XFD1048576"/>
    </sheetView>
  </sheetViews>
  <sheetFormatPr defaultRowHeight="36.75" customHeight="1" x14ac:dyDescent="0.2"/>
  <cols>
    <col min="1" max="1" width="24" style="305" customWidth="1"/>
    <col min="2" max="2" width="9.28515625" style="289" customWidth="1"/>
    <col min="3" max="19" width="9.7109375" style="293" customWidth="1"/>
    <col min="20" max="20" width="9.85546875" style="293" customWidth="1"/>
    <col min="21" max="23" width="9.7109375" style="293" customWidth="1"/>
    <col min="24" max="24" width="9.5703125" style="293" customWidth="1"/>
    <col min="25" max="25" width="9.42578125" style="293" customWidth="1"/>
    <col min="26" max="28" width="9.5703125" style="293" customWidth="1"/>
    <col min="29" max="29" width="10.28515625" style="296" customWidth="1"/>
    <col min="30" max="16384" width="9.140625" style="293"/>
  </cols>
  <sheetData>
    <row r="1" spans="1:29" s="289" customFormat="1" ht="30.75" customHeight="1" x14ac:dyDescent="0.2">
      <c r="A1" s="287"/>
      <c r="B1" s="287"/>
      <c r="C1" s="287" t="s">
        <v>182</v>
      </c>
      <c r="D1" s="287" t="s">
        <v>157</v>
      </c>
      <c r="E1" s="287" t="s">
        <v>159</v>
      </c>
      <c r="F1" s="287" t="s">
        <v>183</v>
      </c>
      <c r="G1" s="287" t="s">
        <v>144</v>
      </c>
      <c r="H1" s="287" t="s">
        <v>145</v>
      </c>
      <c r="I1" s="287" t="s">
        <v>151</v>
      </c>
      <c r="J1" s="287" t="s">
        <v>143</v>
      </c>
      <c r="K1" s="287" t="s">
        <v>181</v>
      </c>
      <c r="L1" s="287" t="s">
        <v>162</v>
      </c>
      <c r="M1" s="287" t="s">
        <v>189</v>
      </c>
      <c r="N1" s="287" t="s">
        <v>154</v>
      </c>
      <c r="O1" s="287" t="s">
        <v>292</v>
      </c>
      <c r="P1" s="287" t="s">
        <v>293</v>
      </c>
      <c r="Q1" s="287" t="s">
        <v>294</v>
      </c>
      <c r="R1" s="287" t="s">
        <v>295</v>
      </c>
      <c r="S1" s="287" t="s">
        <v>258</v>
      </c>
      <c r="T1" s="287" t="s">
        <v>296</v>
      </c>
      <c r="U1" s="287" t="s">
        <v>156</v>
      </c>
      <c r="V1" s="287" t="s">
        <v>142</v>
      </c>
      <c r="W1" s="287" t="s">
        <v>233</v>
      </c>
      <c r="X1" s="287" t="s">
        <v>150</v>
      </c>
      <c r="Y1" s="287" t="s">
        <v>147</v>
      </c>
      <c r="Z1" s="287" t="s">
        <v>297</v>
      </c>
      <c r="AA1" s="287" t="s">
        <v>298</v>
      </c>
      <c r="AB1" s="287" t="s">
        <v>299</v>
      </c>
      <c r="AC1" s="288" t="s">
        <v>3</v>
      </c>
    </row>
    <row r="2" spans="1:29" ht="33.75" customHeight="1" x14ac:dyDescent="0.2">
      <c r="A2" s="290" t="s">
        <v>259</v>
      </c>
      <c r="B2" s="287">
        <v>51</v>
      </c>
      <c r="C2" s="308">
        <v>380</v>
      </c>
      <c r="D2" s="308">
        <v>1183</v>
      </c>
      <c r="E2" s="308">
        <v>357</v>
      </c>
      <c r="F2" s="308">
        <v>686</v>
      </c>
      <c r="G2" s="308">
        <v>7138</v>
      </c>
      <c r="H2" s="308">
        <v>4221</v>
      </c>
      <c r="I2" s="308">
        <v>530</v>
      </c>
      <c r="J2" s="308">
        <v>974</v>
      </c>
      <c r="K2" s="308">
        <v>608</v>
      </c>
      <c r="L2" s="308">
        <v>274</v>
      </c>
      <c r="M2" s="308">
        <v>117576</v>
      </c>
      <c r="N2" s="308">
        <v>253</v>
      </c>
      <c r="O2" s="308">
        <v>58</v>
      </c>
      <c r="P2" s="308"/>
      <c r="Q2" s="308">
        <v>34</v>
      </c>
      <c r="R2" s="308">
        <v>922</v>
      </c>
      <c r="S2" s="308">
        <v>224</v>
      </c>
      <c r="T2" s="308">
        <v>171</v>
      </c>
      <c r="U2" s="308">
        <v>323</v>
      </c>
      <c r="V2" s="308">
        <v>3789</v>
      </c>
      <c r="W2" s="308">
        <v>34834</v>
      </c>
      <c r="X2" s="308"/>
      <c r="Y2" s="308"/>
      <c r="Z2" s="308"/>
      <c r="AA2" s="308"/>
      <c r="AB2" s="308">
        <v>1352</v>
      </c>
      <c r="AC2" s="309">
        <f t="shared" ref="AC2:AC10" si="0">SUM(C2:AB2)</f>
        <v>175887</v>
      </c>
    </row>
    <row r="3" spans="1:29" ht="34.5" customHeight="1" x14ac:dyDescent="0.2">
      <c r="A3" s="290" t="s">
        <v>260</v>
      </c>
      <c r="B3" s="287">
        <v>52</v>
      </c>
      <c r="C3" s="308">
        <v>1522</v>
      </c>
      <c r="D3" s="308">
        <v>2835</v>
      </c>
      <c r="E3" s="308">
        <v>3329</v>
      </c>
      <c r="F3" s="308">
        <v>3330</v>
      </c>
      <c r="G3" s="308">
        <v>7891</v>
      </c>
      <c r="H3" s="308">
        <v>1822</v>
      </c>
      <c r="I3" s="308">
        <v>5234</v>
      </c>
      <c r="J3" s="308">
        <v>4099</v>
      </c>
      <c r="K3" s="308">
        <v>4677</v>
      </c>
      <c r="L3" s="308">
        <v>3467</v>
      </c>
      <c r="M3" s="308">
        <v>17403</v>
      </c>
      <c r="N3" s="308">
        <v>2029</v>
      </c>
      <c r="O3" s="308">
        <v>34</v>
      </c>
      <c r="P3" s="308">
        <v>939</v>
      </c>
      <c r="Q3" s="308">
        <v>1531</v>
      </c>
      <c r="R3" s="308">
        <v>6702</v>
      </c>
      <c r="S3" s="308">
        <v>889</v>
      </c>
      <c r="T3" s="308">
        <v>925</v>
      </c>
      <c r="U3" s="308">
        <v>3013</v>
      </c>
      <c r="V3" s="308">
        <v>2473</v>
      </c>
      <c r="W3" s="308">
        <v>19980</v>
      </c>
      <c r="X3" s="308">
        <v>970</v>
      </c>
      <c r="Y3" s="308">
        <v>663</v>
      </c>
      <c r="Z3" s="308">
        <v>7923</v>
      </c>
      <c r="AA3" s="308"/>
      <c r="AB3" s="308">
        <v>1740</v>
      </c>
      <c r="AC3" s="309">
        <f t="shared" si="0"/>
        <v>105420</v>
      </c>
    </row>
    <row r="4" spans="1:29" ht="36.75" customHeight="1" x14ac:dyDescent="0.2">
      <c r="A4" s="290" t="s">
        <v>261</v>
      </c>
      <c r="B4" s="287">
        <v>53</v>
      </c>
      <c r="C4" s="308">
        <v>35</v>
      </c>
      <c r="D4" s="308">
        <v>115</v>
      </c>
      <c r="E4" s="308">
        <v>68</v>
      </c>
      <c r="F4" s="308">
        <v>29</v>
      </c>
      <c r="G4" s="308">
        <v>98</v>
      </c>
      <c r="H4" s="308">
        <v>42</v>
      </c>
      <c r="I4" s="308">
        <v>56</v>
      </c>
      <c r="J4" s="308">
        <v>57</v>
      </c>
      <c r="K4" s="308">
        <v>34</v>
      </c>
      <c r="L4" s="308">
        <v>47</v>
      </c>
      <c r="M4" s="308">
        <v>477</v>
      </c>
      <c r="N4" s="308">
        <v>48</v>
      </c>
      <c r="O4" s="308"/>
      <c r="P4" s="308">
        <v>7</v>
      </c>
      <c r="Q4" s="308">
        <v>26</v>
      </c>
      <c r="R4" s="308">
        <v>143</v>
      </c>
      <c r="S4" s="308">
        <v>1</v>
      </c>
      <c r="T4" s="308">
        <v>21</v>
      </c>
      <c r="U4" s="308">
        <v>35</v>
      </c>
      <c r="V4" s="308">
        <v>29</v>
      </c>
      <c r="W4" s="308">
        <v>171</v>
      </c>
      <c r="X4" s="308">
        <v>7</v>
      </c>
      <c r="Y4" s="308"/>
      <c r="Z4" s="308">
        <v>1</v>
      </c>
      <c r="AA4" s="308"/>
      <c r="AB4" s="308">
        <v>8</v>
      </c>
      <c r="AC4" s="309">
        <f t="shared" si="0"/>
        <v>1555</v>
      </c>
    </row>
    <row r="5" spans="1:29" ht="33.75" customHeight="1" x14ac:dyDescent="0.2">
      <c r="A5" s="290" t="s">
        <v>262</v>
      </c>
      <c r="B5" s="287">
        <v>54</v>
      </c>
      <c r="C5" s="308">
        <v>18465</v>
      </c>
      <c r="D5" s="308">
        <v>14334</v>
      </c>
      <c r="E5" s="308">
        <v>23524</v>
      </c>
      <c r="F5" s="308">
        <v>17163</v>
      </c>
      <c r="G5" s="308">
        <v>45894</v>
      </c>
      <c r="H5" s="308">
        <v>21065</v>
      </c>
      <c r="I5" s="308">
        <v>25718</v>
      </c>
      <c r="J5" s="308">
        <v>29029</v>
      </c>
      <c r="K5" s="308">
        <v>10361</v>
      </c>
      <c r="L5" s="308">
        <v>14857</v>
      </c>
      <c r="M5" s="308">
        <v>69226</v>
      </c>
      <c r="N5" s="308">
        <v>20056</v>
      </c>
      <c r="O5" s="308"/>
      <c r="P5" s="308">
        <v>2302</v>
      </c>
      <c r="Q5" s="308">
        <v>4090</v>
      </c>
      <c r="R5" s="308">
        <v>65157</v>
      </c>
      <c r="S5" s="308">
        <v>4222</v>
      </c>
      <c r="T5" s="308">
        <v>12319</v>
      </c>
      <c r="U5" s="308">
        <v>14499</v>
      </c>
      <c r="V5" s="308">
        <v>11344</v>
      </c>
      <c r="W5" s="308">
        <v>41313</v>
      </c>
      <c r="X5" s="308">
        <v>4000</v>
      </c>
      <c r="Y5" s="308">
        <v>168</v>
      </c>
      <c r="Z5" s="308"/>
      <c r="AA5" s="308"/>
      <c r="AB5" s="308">
        <v>4724</v>
      </c>
      <c r="AC5" s="309">
        <f t="shared" si="0"/>
        <v>473830</v>
      </c>
    </row>
    <row r="6" spans="1:29" ht="34.5" customHeight="1" x14ac:dyDescent="0.2">
      <c r="A6" s="290" t="s">
        <v>263</v>
      </c>
      <c r="B6" s="287">
        <v>55</v>
      </c>
      <c r="C6" s="308">
        <v>709</v>
      </c>
      <c r="D6" s="308">
        <v>962</v>
      </c>
      <c r="E6" s="308">
        <v>1491</v>
      </c>
      <c r="F6" s="308">
        <v>1340</v>
      </c>
      <c r="G6" s="308">
        <v>1982</v>
      </c>
      <c r="H6" s="308">
        <v>880</v>
      </c>
      <c r="I6" s="308">
        <v>820</v>
      </c>
      <c r="J6" s="308">
        <v>905</v>
      </c>
      <c r="K6" s="308">
        <v>852</v>
      </c>
      <c r="L6" s="308">
        <v>793</v>
      </c>
      <c r="M6" s="308">
        <v>5651</v>
      </c>
      <c r="N6" s="308">
        <v>984</v>
      </c>
      <c r="O6" s="308"/>
      <c r="P6" s="308">
        <v>70</v>
      </c>
      <c r="Q6" s="308">
        <v>119</v>
      </c>
      <c r="R6" s="308">
        <v>2674</v>
      </c>
      <c r="S6" s="308">
        <v>200</v>
      </c>
      <c r="T6" s="308">
        <v>365</v>
      </c>
      <c r="U6" s="308">
        <v>322</v>
      </c>
      <c r="V6" s="308">
        <v>1090</v>
      </c>
      <c r="W6" s="308">
        <v>2007</v>
      </c>
      <c r="X6" s="308">
        <v>321</v>
      </c>
      <c r="Y6" s="308"/>
      <c r="Z6" s="308"/>
      <c r="AA6" s="308"/>
      <c r="AB6" s="308">
        <v>86</v>
      </c>
      <c r="AC6" s="309">
        <f t="shared" si="0"/>
        <v>24623</v>
      </c>
    </row>
    <row r="7" spans="1:29" ht="33.75" customHeight="1" x14ac:dyDescent="0.2">
      <c r="A7" s="290" t="s">
        <v>264</v>
      </c>
      <c r="B7" s="287">
        <v>56</v>
      </c>
      <c r="C7" s="308">
        <v>4487</v>
      </c>
      <c r="D7" s="308">
        <v>3945</v>
      </c>
      <c r="E7" s="308">
        <v>6060</v>
      </c>
      <c r="F7" s="308">
        <v>4596</v>
      </c>
      <c r="G7" s="308">
        <v>11491</v>
      </c>
      <c r="H7" s="308">
        <v>5197</v>
      </c>
      <c r="I7" s="308">
        <v>6737</v>
      </c>
      <c r="J7" s="308">
        <v>7516</v>
      </c>
      <c r="K7" s="308">
        <v>2944</v>
      </c>
      <c r="L7" s="308">
        <v>3823</v>
      </c>
      <c r="M7" s="308">
        <v>18177</v>
      </c>
      <c r="N7" s="308">
        <v>5647</v>
      </c>
      <c r="O7" s="308"/>
      <c r="P7" s="308">
        <v>522</v>
      </c>
      <c r="Q7" s="308">
        <v>969</v>
      </c>
      <c r="R7" s="308">
        <v>16410</v>
      </c>
      <c r="S7" s="308">
        <v>995</v>
      </c>
      <c r="T7" s="308">
        <v>3427</v>
      </c>
      <c r="U7" s="308">
        <v>3677</v>
      </c>
      <c r="V7" s="308">
        <v>3306</v>
      </c>
      <c r="W7" s="308">
        <v>10897</v>
      </c>
      <c r="X7" s="308">
        <v>1074</v>
      </c>
      <c r="Y7" s="308">
        <v>41</v>
      </c>
      <c r="Z7" s="308"/>
      <c r="AA7" s="308"/>
      <c r="AB7" s="308">
        <v>1202</v>
      </c>
      <c r="AC7" s="309">
        <f t="shared" si="0"/>
        <v>123140</v>
      </c>
    </row>
    <row r="8" spans="1:29" ht="33.75" customHeight="1" x14ac:dyDescent="0.2">
      <c r="A8" s="290" t="s">
        <v>265</v>
      </c>
      <c r="B8" s="287">
        <v>57</v>
      </c>
      <c r="C8" s="308">
        <v>463</v>
      </c>
      <c r="D8" s="308">
        <v>3903</v>
      </c>
      <c r="E8" s="308">
        <v>75</v>
      </c>
      <c r="F8" s="308">
        <v>2185</v>
      </c>
      <c r="G8" s="308">
        <v>1348</v>
      </c>
      <c r="H8" s="308">
        <v>48</v>
      </c>
      <c r="I8" s="308">
        <v>1386</v>
      </c>
      <c r="J8" s="308">
        <v>7506</v>
      </c>
      <c r="K8" s="308">
        <v>1333</v>
      </c>
      <c r="L8" s="308">
        <v>794</v>
      </c>
      <c r="M8" s="308">
        <v>2825</v>
      </c>
      <c r="N8" s="308">
        <v>127</v>
      </c>
      <c r="O8" s="308">
        <v>29</v>
      </c>
      <c r="P8" s="308">
        <v>3</v>
      </c>
      <c r="Q8" s="308">
        <v>6</v>
      </c>
      <c r="R8" s="308">
        <v>43187</v>
      </c>
      <c r="S8" s="308">
        <v>10</v>
      </c>
      <c r="T8" s="308">
        <v>28</v>
      </c>
      <c r="U8" s="308">
        <v>43</v>
      </c>
      <c r="V8" s="308">
        <v>6204</v>
      </c>
      <c r="W8" s="308">
        <v>9453</v>
      </c>
      <c r="X8" s="308">
        <v>978</v>
      </c>
      <c r="Y8" s="308">
        <v>21</v>
      </c>
      <c r="Z8" s="308">
        <v>6</v>
      </c>
      <c r="AA8" s="308">
        <v>439</v>
      </c>
      <c r="AB8" s="308">
        <v>101</v>
      </c>
      <c r="AC8" s="309">
        <f t="shared" si="0"/>
        <v>82501</v>
      </c>
    </row>
    <row r="9" spans="1:29" ht="36.75" customHeight="1" x14ac:dyDescent="0.2">
      <c r="A9" s="290" t="s">
        <v>266</v>
      </c>
      <c r="B9" s="287">
        <v>815</v>
      </c>
      <c r="C9" s="308">
        <v>1</v>
      </c>
      <c r="D9" s="308"/>
      <c r="E9" s="308"/>
      <c r="F9" s="308"/>
      <c r="G9" s="308"/>
      <c r="H9" s="308"/>
      <c r="I9" s="308"/>
      <c r="J9" s="308"/>
      <c r="K9" s="308"/>
      <c r="L9" s="308"/>
      <c r="M9" s="308">
        <v>1</v>
      </c>
      <c r="N9" s="308"/>
      <c r="O9" s="308"/>
      <c r="P9" s="308"/>
      <c r="Q9" s="308"/>
      <c r="R9" s="308">
        <v>4</v>
      </c>
      <c r="S9" s="308"/>
      <c r="T9" s="308"/>
      <c r="U9" s="308"/>
      <c r="V9" s="308"/>
      <c r="W9" s="308">
        <v>7</v>
      </c>
      <c r="X9" s="308"/>
      <c r="Y9" s="308"/>
      <c r="Z9" s="308"/>
      <c r="AA9" s="308"/>
      <c r="AB9" s="308"/>
      <c r="AC9" s="309">
        <f t="shared" si="0"/>
        <v>13</v>
      </c>
    </row>
    <row r="10" spans="1:29" ht="34.5" customHeight="1" x14ac:dyDescent="0.2">
      <c r="A10" s="290" t="s">
        <v>267</v>
      </c>
      <c r="B10" s="287" t="s">
        <v>268</v>
      </c>
      <c r="C10" s="308"/>
      <c r="D10" s="308"/>
      <c r="E10" s="308"/>
      <c r="F10" s="308"/>
      <c r="G10" s="308"/>
      <c r="H10" s="308"/>
      <c r="I10" s="308"/>
      <c r="J10" s="308"/>
      <c r="K10" s="308"/>
      <c r="L10" s="308"/>
      <c r="M10" s="308"/>
      <c r="N10" s="308"/>
      <c r="O10" s="308"/>
      <c r="P10" s="308"/>
      <c r="Q10" s="308"/>
      <c r="R10" s="308"/>
      <c r="S10" s="308"/>
      <c r="T10" s="308"/>
      <c r="U10" s="308"/>
      <c r="V10" s="308"/>
      <c r="W10" s="308"/>
      <c r="X10" s="308"/>
      <c r="Y10" s="308"/>
      <c r="Z10" s="308"/>
      <c r="AA10" s="308"/>
      <c r="AB10" s="308"/>
      <c r="AC10" s="309">
        <f t="shared" si="0"/>
        <v>0</v>
      </c>
    </row>
    <row r="11" spans="1:29" s="296" customFormat="1" ht="34.5" customHeight="1" x14ac:dyDescent="0.2">
      <c r="A11" s="294" t="s">
        <v>269</v>
      </c>
      <c r="B11" s="288"/>
      <c r="C11" s="309">
        <f t="shared" ref="C11:AB11" si="1">SUM(C2:C10)</f>
        <v>26062</v>
      </c>
      <c r="D11" s="309">
        <f t="shared" si="1"/>
        <v>27277</v>
      </c>
      <c r="E11" s="309">
        <f t="shared" si="1"/>
        <v>34904</v>
      </c>
      <c r="F11" s="309">
        <f t="shared" si="1"/>
        <v>29329</v>
      </c>
      <c r="G11" s="309">
        <f t="shared" si="1"/>
        <v>75842</v>
      </c>
      <c r="H11" s="309">
        <f t="shared" si="1"/>
        <v>33275</v>
      </c>
      <c r="I11" s="309">
        <f t="shared" si="1"/>
        <v>40481</v>
      </c>
      <c r="J11" s="309">
        <f t="shared" si="1"/>
        <v>50086</v>
      </c>
      <c r="K11" s="309">
        <f t="shared" si="1"/>
        <v>20809</v>
      </c>
      <c r="L11" s="309">
        <f t="shared" si="1"/>
        <v>24055</v>
      </c>
      <c r="M11" s="309">
        <f t="shared" si="1"/>
        <v>231336</v>
      </c>
      <c r="N11" s="309">
        <f t="shared" si="1"/>
        <v>29144</v>
      </c>
      <c r="O11" s="309">
        <f t="shared" si="1"/>
        <v>121</v>
      </c>
      <c r="P11" s="309">
        <f t="shared" si="1"/>
        <v>3843</v>
      </c>
      <c r="Q11" s="309">
        <f t="shared" si="1"/>
        <v>6775</v>
      </c>
      <c r="R11" s="309">
        <f t="shared" si="1"/>
        <v>135199</v>
      </c>
      <c r="S11" s="309">
        <f t="shared" si="1"/>
        <v>6541</v>
      </c>
      <c r="T11" s="309">
        <f t="shared" si="1"/>
        <v>17256</v>
      </c>
      <c r="U11" s="309">
        <f t="shared" si="1"/>
        <v>21912</v>
      </c>
      <c r="V11" s="309">
        <f t="shared" si="1"/>
        <v>28235</v>
      </c>
      <c r="W11" s="309">
        <f t="shared" si="1"/>
        <v>118662</v>
      </c>
      <c r="X11" s="309">
        <f t="shared" si="1"/>
        <v>7350</v>
      </c>
      <c r="Y11" s="309">
        <f t="shared" si="1"/>
        <v>893</v>
      </c>
      <c r="Z11" s="309">
        <f t="shared" si="1"/>
        <v>7930</v>
      </c>
      <c r="AA11" s="309">
        <f t="shared" si="1"/>
        <v>439</v>
      </c>
      <c r="AB11" s="309">
        <f t="shared" si="1"/>
        <v>9213</v>
      </c>
      <c r="AC11" s="309">
        <f>SUM(AC2:AC10)</f>
        <v>986969</v>
      </c>
    </row>
    <row r="12" spans="1:29" ht="33.75" customHeight="1" x14ac:dyDescent="0.2">
      <c r="A12" s="290" t="s">
        <v>270</v>
      </c>
      <c r="B12" s="287">
        <v>51</v>
      </c>
      <c r="C12" s="308">
        <v>123</v>
      </c>
      <c r="D12" s="308">
        <v>129</v>
      </c>
      <c r="E12" s="308">
        <v>165</v>
      </c>
      <c r="F12" s="308">
        <v>139</v>
      </c>
      <c r="G12" s="308">
        <v>359</v>
      </c>
      <c r="H12" s="308">
        <v>157</v>
      </c>
      <c r="I12" s="308">
        <v>192</v>
      </c>
      <c r="J12" s="308">
        <v>237</v>
      </c>
      <c r="K12" s="308">
        <v>99</v>
      </c>
      <c r="L12" s="308">
        <v>114</v>
      </c>
      <c r="M12" s="308">
        <v>1096</v>
      </c>
      <c r="N12" s="308">
        <v>138</v>
      </c>
      <c r="O12" s="308"/>
      <c r="P12" s="308">
        <v>18</v>
      </c>
      <c r="Q12" s="308">
        <v>32</v>
      </c>
      <c r="R12" s="308">
        <v>641</v>
      </c>
      <c r="S12" s="308">
        <v>31</v>
      </c>
      <c r="T12" s="308">
        <v>82</v>
      </c>
      <c r="U12" s="308">
        <v>104</v>
      </c>
      <c r="V12" s="308">
        <v>134</v>
      </c>
      <c r="W12" s="308">
        <v>562</v>
      </c>
      <c r="X12" s="308">
        <v>35</v>
      </c>
      <c r="Y12" s="308">
        <v>4</v>
      </c>
      <c r="Z12" s="308">
        <v>38</v>
      </c>
      <c r="AA12" s="308"/>
      <c r="AB12" s="308">
        <v>44</v>
      </c>
      <c r="AC12" s="309">
        <f t="shared" ref="AC12:AC20" si="2">SUM(C12:AB12)</f>
        <v>4673</v>
      </c>
    </row>
    <row r="13" spans="1:29" ht="34.5" customHeight="1" x14ac:dyDescent="0.2">
      <c r="A13" s="290" t="s">
        <v>271</v>
      </c>
      <c r="B13" s="287">
        <v>52</v>
      </c>
      <c r="C13" s="308">
        <v>490</v>
      </c>
      <c r="D13" s="308">
        <v>509</v>
      </c>
      <c r="E13" s="308">
        <v>662</v>
      </c>
      <c r="F13" s="308">
        <v>551</v>
      </c>
      <c r="G13" s="308">
        <v>1437</v>
      </c>
      <c r="H13" s="308">
        <v>633</v>
      </c>
      <c r="I13" s="308">
        <v>766</v>
      </c>
      <c r="J13" s="308">
        <v>947</v>
      </c>
      <c r="K13" s="308">
        <v>396</v>
      </c>
      <c r="L13" s="308">
        <v>450</v>
      </c>
      <c r="M13" s="308">
        <v>4397</v>
      </c>
      <c r="N13" s="308">
        <v>551</v>
      </c>
      <c r="O13" s="308">
        <v>2</v>
      </c>
      <c r="P13" s="308">
        <v>73</v>
      </c>
      <c r="Q13" s="308">
        <v>130</v>
      </c>
      <c r="R13" s="308">
        <v>2559</v>
      </c>
      <c r="S13" s="308">
        <v>124</v>
      </c>
      <c r="T13" s="308">
        <v>326</v>
      </c>
      <c r="U13" s="308">
        <v>412</v>
      </c>
      <c r="V13" s="308">
        <v>532</v>
      </c>
      <c r="W13" s="308">
        <v>2252</v>
      </c>
      <c r="X13" s="308">
        <v>140</v>
      </c>
      <c r="Y13" s="308">
        <v>17</v>
      </c>
      <c r="Z13" s="308">
        <v>151</v>
      </c>
      <c r="AA13" s="308"/>
      <c r="AB13" s="308">
        <v>179</v>
      </c>
      <c r="AC13" s="309">
        <f t="shared" si="2"/>
        <v>18686</v>
      </c>
    </row>
    <row r="14" spans="1:29" ht="36.75" customHeight="1" x14ac:dyDescent="0.2">
      <c r="A14" s="290" t="s">
        <v>272</v>
      </c>
      <c r="B14" s="287">
        <v>53</v>
      </c>
      <c r="C14" s="308">
        <v>118</v>
      </c>
      <c r="D14" s="308">
        <v>124</v>
      </c>
      <c r="E14" s="308">
        <v>159</v>
      </c>
      <c r="F14" s="308">
        <v>134</v>
      </c>
      <c r="G14" s="308">
        <v>345</v>
      </c>
      <c r="H14" s="308">
        <v>151</v>
      </c>
      <c r="I14" s="308">
        <v>184</v>
      </c>
      <c r="J14" s="308">
        <v>228</v>
      </c>
      <c r="K14" s="308">
        <v>95</v>
      </c>
      <c r="L14" s="308">
        <v>109</v>
      </c>
      <c r="M14" s="308">
        <v>1051</v>
      </c>
      <c r="N14" s="308">
        <v>132</v>
      </c>
      <c r="O14" s="308"/>
      <c r="P14" s="308">
        <v>18</v>
      </c>
      <c r="Q14" s="308">
        <v>31</v>
      </c>
      <c r="R14" s="308">
        <v>615</v>
      </c>
      <c r="S14" s="308">
        <v>30</v>
      </c>
      <c r="T14" s="308">
        <v>79</v>
      </c>
      <c r="U14" s="308">
        <v>100</v>
      </c>
      <c r="V14" s="308">
        <v>128</v>
      </c>
      <c r="W14" s="308">
        <v>539</v>
      </c>
      <c r="X14" s="308">
        <v>34</v>
      </c>
      <c r="Y14" s="308">
        <v>4</v>
      </c>
      <c r="Z14" s="308">
        <v>35</v>
      </c>
      <c r="AA14" s="308"/>
      <c r="AB14" s="308">
        <v>42</v>
      </c>
      <c r="AC14" s="309">
        <f t="shared" si="2"/>
        <v>4485</v>
      </c>
    </row>
    <row r="15" spans="1:29" ht="34.5" customHeight="1" x14ac:dyDescent="0.2">
      <c r="A15" s="290" t="s">
        <v>273</v>
      </c>
      <c r="B15" s="287">
        <v>54</v>
      </c>
      <c r="C15" s="308">
        <v>1849</v>
      </c>
      <c r="D15" s="308">
        <v>1930</v>
      </c>
      <c r="E15" s="308">
        <v>2481</v>
      </c>
      <c r="F15" s="308">
        <v>2079</v>
      </c>
      <c r="G15" s="308">
        <v>5390</v>
      </c>
      <c r="H15" s="308">
        <v>2367</v>
      </c>
      <c r="I15" s="308">
        <v>2876</v>
      </c>
      <c r="J15" s="308">
        <v>3557</v>
      </c>
      <c r="K15" s="308">
        <v>1480</v>
      </c>
      <c r="L15" s="308">
        <v>1703</v>
      </c>
      <c r="M15" s="308">
        <v>16456</v>
      </c>
      <c r="N15" s="308">
        <v>2069</v>
      </c>
      <c r="O15" s="308">
        <v>9</v>
      </c>
      <c r="P15" s="308">
        <v>274</v>
      </c>
      <c r="Q15" s="308">
        <v>484</v>
      </c>
      <c r="R15" s="308">
        <v>9605</v>
      </c>
      <c r="S15" s="308">
        <v>466</v>
      </c>
      <c r="T15" s="308">
        <v>1225</v>
      </c>
      <c r="U15" s="308">
        <v>1554</v>
      </c>
      <c r="V15" s="308">
        <v>2003</v>
      </c>
      <c r="W15" s="308">
        <v>8437</v>
      </c>
      <c r="X15" s="308">
        <v>523</v>
      </c>
      <c r="Y15" s="308">
        <v>63</v>
      </c>
      <c r="Z15" s="308">
        <v>565</v>
      </c>
      <c r="AA15" s="308"/>
      <c r="AB15" s="308">
        <v>659</v>
      </c>
      <c r="AC15" s="309">
        <f t="shared" si="2"/>
        <v>70104</v>
      </c>
    </row>
    <row r="16" spans="1:29" ht="34.5" customHeight="1" x14ac:dyDescent="0.2">
      <c r="A16" s="290" t="s">
        <v>274</v>
      </c>
      <c r="B16" s="287">
        <v>55</v>
      </c>
      <c r="C16" s="308">
        <v>109</v>
      </c>
      <c r="D16" s="308">
        <v>112</v>
      </c>
      <c r="E16" s="308">
        <v>148</v>
      </c>
      <c r="F16" s="308">
        <v>122</v>
      </c>
      <c r="G16" s="308">
        <v>320</v>
      </c>
      <c r="H16" s="308">
        <v>142</v>
      </c>
      <c r="I16" s="308">
        <v>171</v>
      </c>
      <c r="J16" s="308">
        <v>210</v>
      </c>
      <c r="K16" s="308">
        <v>89</v>
      </c>
      <c r="L16" s="308">
        <v>99</v>
      </c>
      <c r="M16" s="308">
        <v>984</v>
      </c>
      <c r="N16" s="308">
        <v>123</v>
      </c>
      <c r="O16" s="308">
        <v>1</v>
      </c>
      <c r="P16" s="308">
        <v>16</v>
      </c>
      <c r="Q16" s="308">
        <v>30</v>
      </c>
      <c r="R16" s="308">
        <v>570</v>
      </c>
      <c r="S16" s="308">
        <v>28</v>
      </c>
      <c r="T16" s="308">
        <v>72</v>
      </c>
      <c r="U16" s="308">
        <v>91</v>
      </c>
      <c r="V16" s="308">
        <v>118</v>
      </c>
      <c r="W16" s="308">
        <v>503</v>
      </c>
      <c r="X16" s="308">
        <v>31</v>
      </c>
      <c r="Y16" s="308">
        <v>4</v>
      </c>
      <c r="Z16" s="308">
        <v>34</v>
      </c>
      <c r="AA16" s="308"/>
      <c r="AB16" s="308">
        <v>41</v>
      </c>
      <c r="AC16" s="309">
        <f t="shared" si="2"/>
        <v>4168</v>
      </c>
    </row>
    <row r="17" spans="1:29" ht="33.75" customHeight="1" x14ac:dyDescent="0.2">
      <c r="A17" s="290" t="s">
        <v>275</v>
      </c>
      <c r="B17" s="287">
        <v>56</v>
      </c>
      <c r="C17" s="308">
        <v>573</v>
      </c>
      <c r="D17" s="308">
        <v>598</v>
      </c>
      <c r="E17" s="308">
        <v>770</v>
      </c>
      <c r="F17" s="308">
        <v>644</v>
      </c>
      <c r="G17" s="308">
        <v>1672</v>
      </c>
      <c r="H17" s="308">
        <v>735</v>
      </c>
      <c r="I17" s="308">
        <v>892</v>
      </c>
      <c r="J17" s="308">
        <v>1103</v>
      </c>
      <c r="K17" s="308">
        <v>459</v>
      </c>
      <c r="L17" s="308">
        <v>527</v>
      </c>
      <c r="M17" s="308">
        <v>5107</v>
      </c>
      <c r="N17" s="308">
        <v>642</v>
      </c>
      <c r="O17" s="308">
        <v>3</v>
      </c>
      <c r="P17" s="308">
        <v>85</v>
      </c>
      <c r="Q17" s="308">
        <v>150</v>
      </c>
      <c r="R17" s="308">
        <v>2979</v>
      </c>
      <c r="S17" s="308">
        <v>145</v>
      </c>
      <c r="T17" s="308">
        <v>380</v>
      </c>
      <c r="U17" s="308">
        <v>482</v>
      </c>
      <c r="V17" s="308">
        <v>621</v>
      </c>
      <c r="W17" s="308">
        <v>2618</v>
      </c>
      <c r="X17" s="308">
        <v>162</v>
      </c>
      <c r="Y17" s="308">
        <v>20</v>
      </c>
      <c r="Z17" s="308">
        <v>175</v>
      </c>
      <c r="AA17" s="308"/>
      <c r="AB17" s="308">
        <v>205</v>
      </c>
      <c r="AC17" s="309">
        <f t="shared" si="2"/>
        <v>21747</v>
      </c>
    </row>
    <row r="18" spans="1:29" ht="33.75" customHeight="1" x14ac:dyDescent="0.2">
      <c r="A18" s="290" t="s">
        <v>276</v>
      </c>
      <c r="B18" s="287">
        <v>57</v>
      </c>
      <c r="C18" s="308">
        <v>137</v>
      </c>
      <c r="D18" s="308">
        <v>144</v>
      </c>
      <c r="E18" s="308">
        <v>184</v>
      </c>
      <c r="F18" s="308">
        <v>154</v>
      </c>
      <c r="G18" s="308">
        <v>399</v>
      </c>
      <c r="H18" s="308">
        <v>175</v>
      </c>
      <c r="I18" s="308">
        <v>213</v>
      </c>
      <c r="J18" s="308">
        <v>264</v>
      </c>
      <c r="K18" s="308">
        <v>109</v>
      </c>
      <c r="L18" s="308">
        <v>127</v>
      </c>
      <c r="M18" s="308">
        <v>1217</v>
      </c>
      <c r="N18" s="308">
        <v>153</v>
      </c>
      <c r="O18" s="308">
        <v>1</v>
      </c>
      <c r="P18" s="308">
        <v>20</v>
      </c>
      <c r="Q18" s="308">
        <v>36</v>
      </c>
      <c r="R18" s="308">
        <v>711</v>
      </c>
      <c r="S18" s="308">
        <v>34</v>
      </c>
      <c r="T18" s="308">
        <v>91</v>
      </c>
      <c r="U18" s="308">
        <v>115</v>
      </c>
      <c r="V18" s="308">
        <v>148</v>
      </c>
      <c r="W18" s="308">
        <v>625</v>
      </c>
      <c r="X18" s="308">
        <v>39</v>
      </c>
      <c r="Y18" s="308">
        <v>5</v>
      </c>
      <c r="Z18" s="308">
        <v>42</v>
      </c>
      <c r="AA18" s="308"/>
      <c r="AB18" s="308">
        <v>48</v>
      </c>
      <c r="AC18" s="309">
        <f t="shared" si="2"/>
        <v>5191</v>
      </c>
    </row>
    <row r="19" spans="1:29" ht="36.75" customHeight="1" x14ac:dyDescent="0.2">
      <c r="A19" s="290" t="s">
        <v>277</v>
      </c>
      <c r="B19" s="287">
        <v>815</v>
      </c>
      <c r="C19" s="308">
        <v>2</v>
      </c>
      <c r="D19" s="308">
        <v>2</v>
      </c>
      <c r="E19" s="308">
        <v>2</v>
      </c>
      <c r="F19" s="308">
        <v>2</v>
      </c>
      <c r="G19" s="308">
        <v>5</v>
      </c>
      <c r="H19" s="308">
        <v>2</v>
      </c>
      <c r="I19" s="308">
        <v>3</v>
      </c>
      <c r="J19" s="308">
        <v>3</v>
      </c>
      <c r="K19" s="308">
        <v>1</v>
      </c>
      <c r="L19" s="308">
        <v>2</v>
      </c>
      <c r="M19" s="308">
        <v>15</v>
      </c>
      <c r="N19" s="308">
        <v>2</v>
      </c>
      <c r="O19" s="308"/>
      <c r="P19" s="308"/>
      <c r="Q19" s="308"/>
      <c r="R19" s="308">
        <v>9</v>
      </c>
      <c r="S19" s="308"/>
      <c r="T19" s="308">
        <v>1</v>
      </c>
      <c r="U19" s="308">
        <v>1</v>
      </c>
      <c r="V19" s="308">
        <v>2</v>
      </c>
      <c r="W19" s="308">
        <v>8</v>
      </c>
      <c r="X19" s="308"/>
      <c r="Y19" s="308"/>
      <c r="Z19" s="308">
        <v>1</v>
      </c>
      <c r="AA19" s="308"/>
      <c r="AB19" s="308"/>
      <c r="AC19" s="309">
        <f t="shared" si="2"/>
        <v>63</v>
      </c>
    </row>
    <row r="20" spans="1:29" ht="33.75" customHeight="1" x14ac:dyDescent="0.2">
      <c r="A20" s="290" t="s">
        <v>278</v>
      </c>
      <c r="B20" s="287" t="s">
        <v>268</v>
      </c>
      <c r="C20" s="308">
        <v>36</v>
      </c>
      <c r="D20" s="308">
        <v>37</v>
      </c>
      <c r="E20" s="308">
        <v>48</v>
      </c>
      <c r="F20" s="308">
        <v>40</v>
      </c>
      <c r="G20" s="308">
        <v>104</v>
      </c>
      <c r="H20" s="308">
        <v>46</v>
      </c>
      <c r="I20" s="308">
        <v>55</v>
      </c>
      <c r="J20" s="308">
        <v>69</v>
      </c>
      <c r="K20" s="308">
        <v>28</v>
      </c>
      <c r="L20" s="308">
        <v>33</v>
      </c>
      <c r="M20" s="308">
        <v>316</v>
      </c>
      <c r="N20" s="308">
        <v>40</v>
      </c>
      <c r="O20" s="308">
        <v>0</v>
      </c>
      <c r="P20" s="308">
        <v>5</v>
      </c>
      <c r="Q20" s="308">
        <v>9</v>
      </c>
      <c r="R20" s="308">
        <v>185</v>
      </c>
      <c r="S20" s="308">
        <v>9</v>
      </c>
      <c r="T20" s="308">
        <v>24</v>
      </c>
      <c r="U20" s="308">
        <v>30</v>
      </c>
      <c r="V20" s="308">
        <v>39</v>
      </c>
      <c r="W20" s="308">
        <v>162</v>
      </c>
      <c r="X20" s="308">
        <v>10</v>
      </c>
      <c r="Y20" s="308">
        <v>1</v>
      </c>
      <c r="Z20" s="308">
        <v>11</v>
      </c>
      <c r="AA20" s="308">
        <v>0</v>
      </c>
      <c r="AB20" s="308">
        <v>13</v>
      </c>
      <c r="AC20" s="309">
        <f t="shared" si="2"/>
        <v>1350</v>
      </c>
    </row>
    <row r="21" spans="1:29" s="296" customFormat="1" ht="34.5" customHeight="1" x14ac:dyDescent="0.2">
      <c r="A21" s="294" t="s">
        <v>279</v>
      </c>
      <c r="B21" s="288"/>
      <c r="C21" s="309">
        <f>SUM(C12:C20)</f>
        <v>3437</v>
      </c>
      <c r="D21" s="309">
        <f t="shared" ref="D21:AB21" si="3">SUM(D12:D20)</f>
        <v>3585</v>
      </c>
      <c r="E21" s="309">
        <f t="shared" si="3"/>
        <v>4619</v>
      </c>
      <c r="F21" s="309">
        <f t="shared" si="3"/>
        <v>3865</v>
      </c>
      <c r="G21" s="309">
        <f t="shared" si="3"/>
        <v>10031</v>
      </c>
      <c r="H21" s="309">
        <f t="shared" si="3"/>
        <v>4408</v>
      </c>
      <c r="I21" s="309">
        <f t="shared" si="3"/>
        <v>5352</v>
      </c>
      <c r="J21" s="309">
        <f t="shared" si="3"/>
        <v>6618</v>
      </c>
      <c r="K21" s="309">
        <f t="shared" si="3"/>
        <v>2756</v>
      </c>
      <c r="L21" s="309">
        <f t="shared" si="3"/>
        <v>3164</v>
      </c>
      <c r="M21" s="309">
        <f t="shared" si="3"/>
        <v>30639</v>
      </c>
      <c r="N21" s="309">
        <f t="shared" si="3"/>
        <v>3850</v>
      </c>
      <c r="O21" s="309">
        <f t="shared" si="3"/>
        <v>16</v>
      </c>
      <c r="P21" s="309">
        <f t="shared" si="3"/>
        <v>509</v>
      </c>
      <c r="Q21" s="309">
        <f t="shared" si="3"/>
        <v>902</v>
      </c>
      <c r="R21" s="309">
        <f t="shared" si="3"/>
        <v>17874</v>
      </c>
      <c r="S21" s="309">
        <f t="shared" si="3"/>
        <v>867</v>
      </c>
      <c r="T21" s="309">
        <f t="shared" si="3"/>
        <v>2280</v>
      </c>
      <c r="U21" s="309">
        <f t="shared" si="3"/>
        <v>2889</v>
      </c>
      <c r="V21" s="309">
        <f t="shared" si="3"/>
        <v>3725</v>
      </c>
      <c r="W21" s="309">
        <f t="shared" si="3"/>
        <v>15706</v>
      </c>
      <c r="X21" s="309">
        <f t="shared" si="3"/>
        <v>974</v>
      </c>
      <c r="Y21" s="309">
        <f t="shared" si="3"/>
        <v>118</v>
      </c>
      <c r="Z21" s="309">
        <f t="shared" si="3"/>
        <v>1052</v>
      </c>
      <c r="AA21" s="309">
        <f t="shared" si="3"/>
        <v>0</v>
      </c>
      <c r="AB21" s="309">
        <f t="shared" si="3"/>
        <v>1231</v>
      </c>
      <c r="AC21" s="309">
        <f>SUM(AC12:AC20)</f>
        <v>130467</v>
      </c>
    </row>
    <row r="22" spans="1:29" s="296" customFormat="1" ht="33.75" customHeight="1" thickBot="1" x14ac:dyDescent="0.25">
      <c r="A22" s="297" t="s">
        <v>280</v>
      </c>
      <c r="B22" s="310"/>
      <c r="C22" s="311">
        <f>SUM(C21,C11)</f>
        <v>29499</v>
      </c>
      <c r="D22" s="311">
        <f t="shared" ref="D22:AB22" si="4">SUM(D21,D11)</f>
        <v>30862</v>
      </c>
      <c r="E22" s="311">
        <f t="shared" si="4"/>
        <v>39523</v>
      </c>
      <c r="F22" s="311">
        <f t="shared" si="4"/>
        <v>33194</v>
      </c>
      <c r="G22" s="311">
        <f t="shared" si="4"/>
        <v>85873</v>
      </c>
      <c r="H22" s="311">
        <f t="shared" si="4"/>
        <v>37683</v>
      </c>
      <c r="I22" s="311">
        <f t="shared" si="4"/>
        <v>45833</v>
      </c>
      <c r="J22" s="311">
        <f t="shared" si="4"/>
        <v>56704</v>
      </c>
      <c r="K22" s="311">
        <f t="shared" si="4"/>
        <v>23565</v>
      </c>
      <c r="L22" s="311">
        <f t="shared" si="4"/>
        <v>27219</v>
      </c>
      <c r="M22" s="311">
        <f t="shared" si="4"/>
        <v>261975</v>
      </c>
      <c r="N22" s="311">
        <f t="shared" si="4"/>
        <v>32994</v>
      </c>
      <c r="O22" s="311">
        <f t="shared" si="4"/>
        <v>137</v>
      </c>
      <c r="P22" s="311">
        <f t="shared" si="4"/>
        <v>4352</v>
      </c>
      <c r="Q22" s="311">
        <f t="shared" si="4"/>
        <v>7677</v>
      </c>
      <c r="R22" s="311">
        <f t="shared" si="4"/>
        <v>153073</v>
      </c>
      <c r="S22" s="311">
        <f t="shared" si="4"/>
        <v>7408</v>
      </c>
      <c r="T22" s="311">
        <f t="shared" si="4"/>
        <v>19536</v>
      </c>
      <c r="U22" s="311">
        <f t="shared" si="4"/>
        <v>24801</v>
      </c>
      <c r="V22" s="311">
        <f t="shared" si="4"/>
        <v>31960</v>
      </c>
      <c r="W22" s="311">
        <f t="shared" si="4"/>
        <v>134368</v>
      </c>
      <c r="X22" s="311">
        <f t="shared" si="4"/>
        <v>8324</v>
      </c>
      <c r="Y22" s="311">
        <f t="shared" si="4"/>
        <v>1011</v>
      </c>
      <c r="Z22" s="311">
        <f t="shared" si="4"/>
        <v>8982</v>
      </c>
      <c r="AA22" s="311">
        <f t="shared" si="4"/>
        <v>439</v>
      </c>
      <c r="AB22" s="311">
        <f t="shared" si="4"/>
        <v>10444</v>
      </c>
      <c r="AC22" s="311">
        <f>SUM(AC21,AC11)</f>
        <v>1117436</v>
      </c>
    </row>
    <row r="23" spans="1:29" ht="34.5" customHeight="1" x14ac:dyDescent="0.2">
      <c r="A23" s="300" t="s">
        <v>281</v>
      </c>
      <c r="B23" s="312" t="s">
        <v>282</v>
      </c>
      <c r="C23" s="313">
        <v>21900</v>
      </c>
      <c r="D23" s="313">
        <v>29206</v>
      </c>
      <c r="E23" s="313">
        <v>42407</v>
      </c>
      <c r="F23" s="313">
        <v>30091</v>
      </c>
      <c r="G23" s="313">
        <v>73573</v>
      </c>
      <c r="H23" s="313">
        <v>34785</v>
      </c>
      <c r="I23" s="313">
        <v>41035</v>
      </c>
      <c r="J23" s="313">
        <v>49188</v>
      </c>
      <c r="K23" s="313">
        <v>34419</v>
      </c>
      <c r="L23" s="313">
        <v>34084</v>
      </c>
      <c r="M23" s="313">
        <v>190481</v>
      </c>
      <c r="N23" s="313">
        <v>23020</v>
      </c>
      <c r="O23" s="313">
        <v>197</v>
      </c>
      <c r="P23" s="313">
        <v>14383</v>
      </c>
      <c r="Q23" s="313">
        <v>3905</v>
      </c>
      <c r="R23" s="313">
        <v>60745</v>
      </c>
      <c r="S23" s="313">
        <v>10415</v>
      </c>
      <c r="T23" s="313">
        <v>5865</v>
      </c>
      <c r="U23" s="313">
        <v>20639</v>
      </c>
      <c r="V23" s="313">
        <v>16150</v>
      </c>
      <c r="W23" s="313">
        <v>111420</v>
      </c>
      <c r="X23" s="313">
        <v>5102</v>
      </c>
      <c r="Y23" s="313">
        <v>2350</v>
      </c>
      <c r="Z23" s="313">
        <v>58517</v>
      </c>
      <c r="AA23" s="313"/>
      <c r="AB23" s="313">
        <v>535</v>
      </c>
      <c r="AC23" s="314">
        <f t="shared" ref="AC23:AC29" si="5">SUM(C23:AB23)</f>
        <v>914412</v>
      </c>
    </row>
    <row r="24" spans="1:29" ht="33.75" customHeight="1" x14ac:dyDescent="0.2">
      <c r="A24" s="304" t="s">
        <v>283</v>
      </c>
      <c r="B24" s="287">
        <v>9117</v>
      </c>
      <c r="C24" s="308">
        <v>21498</v>
      </c>
      <c r="D24" s="308">
        <v>28447</v>
      </c>
      <c r="E24" s="308">
        <v>42188</v>
      </c>
      <c r="F24" s="308">
        <v>29461</v>
      </c>
      <c r="G24" s="308">
        <v>73255</v>
      </c>
      <c r="H24" s="308">
        <v>34562</v>
      </c>
      <c r="I24" s="308">
        <v>39516</v>
      </c>
      <c r="J24" s="308">
        <v>48772</v>
      </c>
      <c r="K24" s="308">
        <v>34378</v>
      </c>
      <c r="L24" s="308">
        <v>34024</v>
      </c>
      <c r="M24" s="308">
        <v>189540</v>
      </c>
      <c r="N24" s="308">
        <v>22885</v>
      </c>
      <c r="O24" s="308"/>
      <c r="P24" s="308">
        <v>14376</v>
      </c>
      <c r="Q24" s="308">
        <v>3887</v>
      </c>
      <c r="R24" s="308">
        <v>53886</v>
      </c>
      <c r="S24" s="308">
        <v>10402</v>
      </c>
      <c r="T24" s="308">
        <v>5631</v>
      </c>
      <c r="U24" s="308">
        <v>20492</v>
      </c>
      <c r="V24" s="308">
        <v>15825</v>
      </c>
      <c r="W24" s="308">
        <v>109490</v>
      </c>
      <c r="X24" s="308">
        <v>4976</v>
      </c>
      <c r="Y24" s="308">
        <v>2349</v>
      </c>
      <c r="Z24" s="308">
        <v>54361</v>
      </c>
      <c r="AA24" s="308"/>
      <c r="AB24" s="308">
        <v>498</v>
      </c>
      <c r="AC24" s="309">
        <f t="shared" si="5"/>
        <v>894699</v>
      </c>
    </row>
    <row r="25" spans="1:29" ht="33.75" customHeight="1" x14ac:dyDescent="0.2">
      <c r="A25" s="290" t="s">
        <v>284</v>
      </c>
      <c r="B25" s="287" t="s">
        <v>285</v>
      </c>
      <c r="C25" s="308">
        <f>C23-C24</f>
        <v>402</v>
      </c>
      <c r="D25" s="308">
        <f t="shared" ref="D25:AB25" si="6">D23-D24</f>
        <v>759</v>
      </c>
      <c r="E25" s="308">
        <f t="shared" si="6"/>
        <v>219</v>
      </c>
      <c r="F25" s="308">
        <f t="shared" si="6"/>
        <v>630</v>
      </c>
      <c r="G25" s="308">
        <f t="shared" si="6"/>
        <v>318</v>
      </c>
      <c r="H25" s="308">
        <f t="shared" si="6"/>
        <v>223</v>
      </c>
      <c r="I25" s="308">
        <f t="shared" si="6"/>
        <v>1519</v>
      </c>
      <c r="J25" s="308">
        <f t="shared" si="6"/>
        <v>416</v>
      </c>
      <c r="K25" s="308">
        <f t="shared" si="6"/>
        <v>41</v>
      </c>
      <c r="L25" s="308">
        <f t="shared" si="6"/>
        <v>60</v>
      </c>
      <c r="M25" s="308">
        <f t="shared" si="6"/>
        <v>941</v>
      </c>
      <c r="N25" s="308">
        <f t="shared" si="6"/>
        <v>135</v>
      </c>
      <c r="O25" s="308">
        <f t="shared" si="6"/>
        <v>197</v>
      </c>
      <c r="P25" s="308">
        <f t="shared" si="6"/>
        <v>7</v>
      </c>
      <c r="Q25" s="308">
        <f t="shared" si="6"/>
        <v>18</v>
      </c>
      <c r="R25" s="308">
        <f t="shared" si="6"/>
        <v>6859</v>
      </c>
      <c r="S25" s="308">
        <f t="shared" si="6"/>
        <v>13</v>
      </c>
      <c r="T25" s="308">
        <f t="shared" si="6"/>
        <v>234</v>
      </c>
      <c r="U25" s="308">
        <f t="shared" si="6"/>
        <v>147</v>
      </c>
      <c r="V25" s="308">
        <f t="shared" si="6"/>
        <v>325</v>
      </c>
      <c r="W25" s="308">
        <f t="shared" si="6"/>
        <v>1930</v>
      </c>
      <c r="X25" s="308">
        <f t="shared" si="6"/>
        <v>126</v>
      </c>
      <c r="Y25" s="308">
        <f t="shared" si="6"/>
        <v>1</v>
      </c>
      <c r="Z25" s="308">
        <f t="shared" si="6"/>
        <v>4156</v>
      </c>
      <c r="AA25" s="308">
        <f>AA23-AA24</f>
        <v>0</v>
      </c>
      <c r="AB25" s="308">
        <f t="shared" si="6"/>
        <v>37</v>
      </c>
      <c r="AC25" s="309">
        <f t="shared" si="5"/>
        <v>19713</v>
      </c>
    </row>
    <row r="26" spans="1:29" ht="33.75" customHeight="1" x14ac:dyDescent="0.2">
      <c r="A26" s="290" t="s">
        <v>286</v>
      </c>
      <c r="B26" s="287" t="s">
        <v>287</v>
      </c>
      <c r="C26" s="308">
        <v>2311</v>
      </c>
      <c r="D26" s="308">
        <v>2361</v>
      </c>
      <c r="E26" s="308">
        <v>3204</v>
      </c>
      <c r="F26" s="308">
        <v>2587</v>
      </c>
      <c r="G26" s="308">
        <v>6862</v>
      </c>
      <c r="H26" s="308">
        <v>3062</v>
      </c>
      <c r="I26" s="308">
        <v>3655</v>
      </c>
      <c r="J26" s="308">
        <v>4504</v>
      </c>
      <c r="K26" s="308">
        <v>1902</v>
      </c>
      <c r="L26" s="308">
        <v>2090</v>
      </c>
      <c r="M26" s="308">
        <v>21688</v>
      </c>
      <c r="N26" s="308">
        <v>2712</v>
      </c>
      <c r="O26" s="308">
        <v>12</v>
      </c>
      <c r="P26" s="308">
        <v>353</v>
      </c>
      <c r="Q26" s="308">
        <v>641</v>
      </c>
      <c r="R26" s="308">
        <v>12204</v>
      </c>
      <c r="S26" s="308">
        <v>602</v>
      </c>
      <c r="T26" s="308">
        <v>1549</v>
      </c>
      <c r="U26" s="308">
        <v>1940</v>
      </c>
      <c r="V26" s="308">
        <v>2561</v>
      </c>
      <c r="W26" s="308">
        <v>10797</v>
      </c>
      <c r="X26" s="308">
        <v>677</v>
      </c>
      <c r="Y26" s="308">
        <v>83</v>
      </c>
      <c r="Z26" s="308">
        <v>732</v>
      </c>
      <c r="AA26" s="308">
        <v>0</v>
      </c>
      <c r="AB26" s="308">
        <v>904</v>
      </c>
      <c r="AC26" s="309">
        <f t="shared" si="5"/>
        <v>89993</v>
      </c>
    </row>
    <row r="27" spans="1:29" ht="34.5" customHeight="1" x14ac:dyDescent="0.2">
      <c r="A27" s="304" t="s">
        <v>288</v>
      </c>
      <c r="B27" s="291">
        <v>9635</v>
      </c>
      <c r="C27" s="308">
        <v>2292</v>
      </c>
      <c r="D27" s="308">
        <v>2342</v>
      </c>
      <c r="E27" s="308">
        <v>3142</v>
      </c>
      <c r="F27" s="308">
        <v>2566</v>
      </c>
      <c r="G27" s="308">
        <v>6803</v>
      </c>
      <c r="H27" s="308">
        <v>3018</v>
      </c>
      <c r="I27" s="308">
        <v>3625</v>
      </c>
      <c r="J27" s="308">
        <v>4464</v>
      </c>
      <c r="K27" s="308">
        <v>1886</v>
      </c>
      <c r="L27" s="308">
        <v>2073</v>
      </c>
      <c r="M27" s="308">
        <v>21509</v>
      </c>
      <c r="N27" s="308">
        <v>2679</v>
      </c>
      <c r="O27" s="308">
        <v>12</v>
      </c>
      <c r="P27" s="308">
        <v>351</v>
      </c>
      <c r="Q27" s="308">
        <v>635</v>
      </c>
      <c r="R27" s="308">
        <v>12093</v>
      </c>
      <c r="S27" s="308">
        <v>596</v>
      </c>
      <c r="T27" s="308">
        <v>1536</v>
      </c>
      <c r="U27" s="308">
        <v>1923</v>
      </c>
      <c r="V27" s="308">
        <v>2488</v>
      </c>
      <c r="W27" s="308">
        <v>10705</v>
      </c>
      <c r="X27" s="308">
        <v>671</v>
      </c>
      <c r="Y27" s="308">
        <v>82</v>
      </c>
      <c r="Z27" s="308">
        <v>726</v>
      </c>
      <c r="AA27" s="308"/>
      <c r="AB27" s="308">
        <v>883</v>
      </c>
      <c r="AC27" s="309">
        <f t="shared" si="5"/>
        <v>89100</v>
      </c>
    </row>
    <row r="28" spans="1:29" ht="34.5" customHeight="1" x14ac:dyDescent="0.2">
      <c r="A28" s="290" t="s">
        <v>289</v>
      </c>
      <c r="B28" s="287">
        <v>97</v>
      </c>
      <c r="C28" s="308">
        <v>1</v>
      </c>
      <c r="D28" s="308">
        <v>1</v>
      </c>
      <c r="E28" s="308">
        <v>2</v>
      </c>
      <c r="F28" s="308">
        <v>2</v>
      </c>
      <c r="G28" s="308">
        <v>4</v>
      </c>
      <c r="H28" s="308">
        <v>2</v>
      </c>
      <c r="I28" s="308">
        <v>2</v>
      </c>
      <c r="J28" s="308">
        <v>3</v>
      </c>
      <c r="K28" s="308">
        <v>1</v>
      </c>
      <c r="L28" s="308">
        <v>1</v>
      </c>
      <c r="M28" s="308">
        <v>13</v>
      </c>
      <c r="N28" s="308">
        <v>1</v>
      </c>
      <c r="O28" s="308"/>
      <c r="P28" s="308"/>
      <c r="Q28" s="308"/>
      <c r="R28" s="308">
        <v>8</v>
      </c>
      <c r="S28" s="308"/>
      <c r="T28" s="308">
        <v>1</v>
      </c>
      <c r="U28" s="308">
        <v>1</v>
      </c>
      <c r="V28" s="308">
        <v>2</v>
      </c>
      <c r="W28" s="308">
        <v>7</v>
      </c>
      <c r="X28" s="308"/>
      <c r="Y28" s="308"/>
      <c r="Z28" s="308">
        <v>1</v>
      </c>
      <c r="AA28" s="308"/>
      <c r="AB28" s="308">
        <v>1</v>
      </c>
      <c r="AC28" s="309">
        <f t="shared" si="5"/>
        <v>54</v>
      </c>
    </row>
    <row r="29" spans="1:29" ht="33.75" customHeight="1" x14ac:dyDescent="0.2">
      <c r="A29" s="315" t="s">
        <v>290</v>
      </c>
      <c r="B29" s="287">
        <v>9698</v>
      </c>
      <c r="C29" s="308">
        <v>910</v>
      </c>
      <c r="D29" s="308">
        <v>3205</v>
      </c>
      <c r="E29" s="308">
        <v>203</v>
      </c>
      <c r="F29" s="308">
        <v>299</v>
      </c>
      <c r="G29" s="308">
        <v>578</v>
      </c>
      <c r="H29" s="308">
        <v>195</v>
      </c>
      <c r="I29" s="308">
        <v>1822</v>
      </c>
      <c r="J29" s="308">
        <v>5280</v>
      </c>
      <c r="K29" s="308">
        <v>752</v>
      </c>
      <c r="L29" s="308">
        <v>691</v>
      </c>
      <c r="M29" s="308">
        <v>3027</v>
      </c>
      <c r="N29" s="308">
        <v>168</v>
      </c>
      <c r="O29" s="308">
        <v>1968</v>
      </c>
      <c r="P29" s="308">
        <v>23</v>
      </c>
      <c r="Q29" s="308">
        <v>41</v>
      </c>
      <c r="R29" s="308">
        <v>42255</v>
      </c>
      <c r="S29" s="308">
        <v>38</v>
      </c>
      <c r="T29" s="308">
        <v>106</v>
      </c>
      <c r="U29" s="308">
        <v>124</v>
      </c>
      <c r="V29" s="308">
        <v>2284</v>
      </c>
      <c r="W29" s="308">
        <v>7410</v>
      </c>
      <c r="X29" s="308">
        <v>43</v>
      </c>
      <c r="Y29" s="308">
        <v>5</v>
      </c>
      <c r="Z29" s="308">
        <v>47</v>
      </c>
      <c r="AA29" s="308">
        <v>279</v>
      </c>
      <c r="AB29" s="308">
        <v>57</v>
      </c>
      <c r="AC29" s="309">
        <f t="shared" si="5"/>
        <v>71810</v>
      </c>
    </row>
    <row r="30" spans="1:29" s="296" customFormat="1" ht="33.75" customHeight="1" x14ac:dyDescent="0.2">
      <c r="A30" s="294" t="s">
        <v>17</v>
      </c>
      <c r="B30" s="288"/>
      <c r="C30" s="309">
        <f>SUM(C23,C26,C28:C29)</f>
        <v>25122</v>
      </c>
      <c r="D30" s="309">
        <f t="shared" ref="D30:Z30" si="7">SUM(D23,D26,D28:D29)</f>
        <v>34773</v>
      </c>
      <c r="E30" s="309">
        <f t="shared" si="7"/>
        <v>45816</v>
      </c>
      <c r="F30" s="309">
        <f t="shared" si="7"/>
        <v>32979</v>
      </c>
      <c r="G30" s="309">
        <f t="shared" si="7"/>
        <v>81017</v>
      </c>
      <c r="H30" s="309">
        <f t="shared" si="7"/>
        <v>38044</v>
      </c>
      <c r="I30" s="309">
        <f t="shared" si="7"/>
        <v>46514</v>
      </c>
      <c r="J30" s="309">
        <f t="shared" si="7"/>
        <v>58975</v>
      </c>
      <c r="K30" s="309">
        <f t="shared" si="7"/>
        <v>37074</v>
      </c>
      <c r="L30" s="309">
        <f t="shared" si="7"/>
        <v>36866</v>
      </c>
      <c r="M30" s="309">
        <f t="shared" si="7"/>
        <v>215209</v>
      </c>
      <c r="N30" s="309">
        <f t="shared" si="7"/>
        <v>25901</v>
      </c>
      <c r="O30" s="309">
        <f t="shared" si="7"/>
        <v>2177</v>
      </c>
      <c r="P30" s="309">
        <f t="shared" si="7"/>
        <v>14759</v>
      </c>
      <c r="Q30" s="309">
        <f t="shared" si="7"/>
        <v>4587</v>
      </c>
      <c r="R30" s="309">
        <f t="shared" si="7"/>
        <v>115212</v>
      </c>
      <c r="S30" s="309">
        <f t="shared" si="7"/>
        <v>11055</v>
      </c>
      <c r="T30" s="309">
        <f t="shared" si="7"/>
        <v>7521</v>
      </c>
      <c r="U30" s="309">
        <f t="shared" si="7"/>
        <v>22704</v>
      </c>
      <c r="V30" s="309">
        <f t="shared" si="7"/>
        <v>20997</v>
      </c>
      <c r="W30" s="309">
        <f t="shared" si="7"/>
        <v>129634</v>
      </c>
      <c r="X30" s="309">
        <f t="shared" si="7"/>
        <v>5822</v>
      </c>
      <c r="Y30" s="309">
        <f t="shared" si="7"/>
        <v>2438</v>
      </c>
      <c r="Z30" s="309">
        <f t="shared" si="7"/>
        <v>59297</v>
      </c>
      <c r="AA30" s="309">
        <f>SUM(AA23,AA26,AA28:AA29)</f>
        <v>279</v>
      </c>
      <c r="AB30" s="309">
        <f>SUM(AB23,AB26,AB28:AB29)</f>
        <v>1497</v>
      </c>
      <c r="AC30" s="309">
        <f>SUM(AC23,AC26,AC28:AC29)</f>
        <v>1076269</v>
      </c>
    </row>
    <row r="31" spans="1:29" s="296" customFormat="1" ht="33.75" customHeight="1" x14ac:dyDescent="0.2">
      <c r="A31" s="294" t="s">
        <v>291</v>
      </c>
      <c r="B31" s="288"/>
      <c r="C31" s="309">
        <f>C30-C22</f>
        <v>-4377</v>
      </c>
      <c r="D31" s="309">
        <f t="shared" ref="D31:Z31" si="8">D30-D22</f>
        <v>3911</v>
      </c>
      <c r="E31" s="309">
        <f t="shared" si="8"/>
        <v>6293</v>
      </c>
      <c r="F31" s="309">
        <f t="shared" si="8"/>
        <v>-215</v>
      </c>
      <c r="G31" s="309">
        <f t="shared" si="8"/>
        <v>-4856</v>
      </c>
      <c r="H31" s="309">
        <f t="shared" si="8"/>
        <v>361</v>
      </c>
      <c r="I31" s="309">
        <f t="shared" si="8"/>
        <v>681</v>
      </c>
      <c r="J31" s="309">
        <f t="shared" si="8"/>
        <v>2271</v>
      </c>
      <c r="K31" s="309">
        <f t="shared" si="8"/>
        <v>13509</v>
      </c>
      <c r="L31" s="309">
        <f t="shared" si="8"/>
        <v>9647</v>
      </c>
      <c r="M31" s="309">
        <f t="shared" si="8"/>
        <v>-46766</v>
      </c>
      <c r="N31" s="309">
        <f t="shared" si="8"/>
        <v>-7093</v>
      </c>
      <c r="O31" s="309">
        <f t="shared" si="8"/>
        <v>2040</v>
      </c>
      <c r="P31" s="309">
        <f t="shared" si="8"/>
        <v>10407</v>
      </c>
      <c r="Q31" s="309">
        <f t="shared" si="8"/>
        <v>-3090</v>
      </c>
      <c r="R31" s="309">
        <f t="shared" si="8"/>
        <v>-37861</v>
      </c>
      <c r="S31" s="309">
        <f t="shared" si="8"/>
        <v>3647</v>
      </c>
      <c r="T31" s="309">
        <f t="shared" si="8"/>
        <v>-12015</v>
      </c>
      <c r="U31" s="309">
        <f t="shared" si="8"/>
        <v>-2097</v>
      </c>
      <c r="V31" s="309">
        <f t="shared" si="8"/>
        <v>-10963</v>
      </c>
      <c r="W31" s="309">
        <f t="shared" si="8"/>
        <v>-4734</v>
      </c>
      <c r="X31" s="309">
        <f t="shared" si="8"/>
        <v>-2502</v>
      </c>
      <c r="Y31" s="309">
        <f t="shared" si="8"/>
        <v>1427</v>
      </c>
      <c r="Z31" s="309">
        <f t="shared" si="8"/>
        <v>50315</v>
      </c>
      <c r="AA31" s="309">
        <f>AA30-AA22</f>
        <v>-160</v>
      </c>
      <c r="AB31" s="309">
        <f>AB30-AB22</f>
        <v>-8947</v>
      </c>
      <c r="AC31" s="309">
        <f>AC30-AC22</f>
        <v>-41167</v>
      </c>
    </row>
    <row r="32" spans="1:29" ht="36.75" customHeight="1" x14ac:dyDescent="0.2">
      <c r="B32" s="293"/>
      <c r="AC32" s="293"/>
    </row>
  </sheetData>
  <conditionalFormatting sqref="AD32:IP65521 A32:A65521 B32:AC65513 A1:XFD30">
    <cfRule type="cellIs" dxfId="3" priority="1" stopIfTrue="1" operator="equal">
      <formula>0</formula>
    </cfRule>
  </conditionalFormatting>
  <printOptions horizontalCentered="1" verticalCentered="1"/>
  <pageMargins left="0" right="0" top="0.59055118110236227" bottom="0.35433070866141736" header="0.31496062992125984" footer="0.31496062992125984"/>
  <pageSetup paperSize="9" scale="49" orientation="landscape" r:id="rId1"/>
  <headerFooter alignWithMargins="0">
    <oddHeader>&amp;CEredménykimutatás Járóbeteg szakterületenként 2016.év Szegedi út (e Ft)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4"/>
  <sheetViews>
    <sheetView zoomScale="75" zoomScaleNormal="75" workbookViewId="0">
      <selection sqref="A1:XFD1048576"/>
    </sheetView>
  </sheetViews>
  <sheetFormatPr defaultRowHeight="18.75" customHeight="1" x14ac:dyDescent="0.2"/>
  <cols>
    <col min="1" max="1" width="26" style="172" customWidth="1"/>
    <col min="2" max="2" width="9.42578125" style="172" customWidth="1"/>
    <col min="3" max="3" width="7.85546875" style="319" customWidth="1"/>
    <col min="4" max="28" width="9.7109375" style="8" customWidth="1"/>
    <col min="29" max="29" width="9.5703125" style="8" customWidth="1"/>
    <col min="30" max="30" width="9.7109375" style="8" customWidth="1"/>
    <col min="31" max="32" width="9.5703125" style="8" customWidth="1"/>
    <col min="33" max="33" width="10" style="26" customWidth="1"/>
    <col min="34" max="16384" width="9.140625" style="8"/>
  </cols>
  <sheetData>
    <row r="1" spans="1:33" s="319" customFormat="1" ht="18.75" customHeight="1" x14ac:dyDescent="0.2">
      <c r="A1" s="316"/>
      <c r="B1" s="317"/>
      <c r="C1" s="317"/>
      <c r="D1" s="317" t="s">
        <v>182</v>
      </c>
      <c r="E1" s="317" t="s">
        <v>157</v>
      </c>
      <c r="F1" s="317" t="s">
        <v>159</v>
      </c>
      <c r="G1" s="317" t="s">
        <v>183</v>
      </c>
      <c r="H1" s="317" t="s">
        <v>144</v>
      </c>
      <c r="I1" s="317" t="s">
        <v>145</v>
      </c>
      <c r="J1" s="317" t="s">
        <v>151</v>
      </c>
      <c r="K1" s="317" t="s">
        <v>300</v>
      </c>
      <c r="L1" s="317" t="s">
        <v>181</v>
      </c>
      <c r="M1" s="317" t="s">
        <v>162</v>
      </c>
      <c r="N1" s="317" t="s">
        <v>189</v>
      </c>
      <c r="O1" s="317" t="s">
        <v>154</v>
      </c>
      <c r="P1" s="317" t="s">
        <v>292</v>
      </c>
      <c r="Q1" s="317" t="s">
        <v>293</v>
      </c>
      <c r="R1" s="317" t="s">
        <v>257</v>
      </c>
      <c r="S1" s="317" t="s">
        <v>294</v>
      </c>
      <c r="T1" s="317" t="s">
        <v>295</v>
      </c>
      <c r="U1" s="317" t="s">
        <v>153</v>
      </c>
      <c r="V1" s="317" t="s">
        <v>258</v>
      </c>
      <c r="W1" s="317" t="s">
        <v>296</v>
      </c>
      <c r="X1" s="317" t="s">
        <v>156</v>
      </c>
      <c r="Y1" s="317" t="s">
        <v>152</v>
      </c>
      <c r="Z1" s="317" t="s">
        <v>142</v>
      </c>
      <c r="AA1" s="317" t="s">
        <v>233</v>
      </c>
      <c r="AB1" s="317" t="s">
        <v>150</v>
      </c>
      <c r="AC1" s="317" t="s">
        <v>147</v>
      </c>
      <c r="AD1" s="317" t="s">
        <v>297</v>
      </c>
      <c r="AE1" s="317" t="s">
        <v>298</v>
      </c>
      <c r="AF1" s="317" t="s">
        <v>299</v>
      </c>
      <c r="AG1" s="318" t="s">
        <v>3</v>
      </c>
    </row>
    <row r="2" spans="1:33" ht="18.75" customHeight="1" x14ac:dyDescent="0.2">
      <c r="A2" s="692" t="s">
        <v>259</v>
      </c>
      <c r="B2" s="286" t="s">
        <v>301</v>
      </c>
      <c r="C2" s="694">
        <v>51</v>
      </c>
      <c r="D2" s="19">
        <f>IF(vis!C2&lt;&gt;"",vis!C2,"")</f>
        <v>388</v>
      </c>
      <c r="E2" s="19">
        <f>IF(vis!D2&lt;&gt;"",vis!D2,"")</f>
        <v>1072</v>
      </c>
      <c r="F2" s="19">
        <f>IF(vis!E2&lt;&gt;"",vis!E2,"")</f>
        <v>355</v>
      </c>
      <c r="G2" s="19">
        <f>IF(vis!F2&lt;&gt;"",vis!F2,"")</f>
        <v>624</v>
      </c>
      <c r="H2" s="19"/>
      <c r="I2" s="19"/>
      <c r="J2" s="19">
        <f>IF(vis!G2&lt;&gt;"",vis!G2,"")</f>
        <v>605</v>
      </c>
      <c r="K2" s="19"/>
      <c r="L2" s="19">
        <f>IF(vis!H2&lt;&gt;"",vis!H2,"")</f>
        <v>618</v>
      </c>
      <c r="M2" s="19">
        <f>IF(vis!I2&lt;&gt;"",vis!I2,"")</f>
        <v>93</v>
      </c>
      <c r="N2" s="19"/>
      <c r="O2" s="19">
        <f>IF(vis!J2&lt;&gt;"",vis!J2,"")</f>
        <v>135</v>
      </c>
      <c r="P2" s="19"/>
      <c r="Q2" s="19"/>
      <c r="R2" s="19" t="str">
        <f>IF(vis!K2&lt;&gt;"",vis!K2,"")</f>
        <v/>
      </c>
      <c r="S2" s="19"/>
      <c r="T2" s="19"/>
      <c r="U2" s="19">
        <f>IF(vis!L2&lt;&gt;"",vis!L2,"")</f>
        <v>515</v>
      </c>
      <c r="V2" s="19">
        <f>IF(vis!M2&lt;&gt;"",vis!M2,"")</f>
        <v>151</v>
      </c>
      <c r="W2" s="19"/>
      <c r="X2" s="19"/>
      <c r="Y2" s="19">
        <f>IF(vis!N2&lt;&gt;"",vis!N2,"")</f>
        <v>311</v>
      </c>
      <c r="Z2" s="19"/>
      <c r="AA2" s="19"/>
      <c r="AB2" s="19"/>
      <c r="AC2" s="19"/>
      <c r="AD2" s="19"/>
      <c r="AE2" s="19"/>
      <c r="AF2" s="19"/>
      <c r="AG2" s="12">
        <f t="shared" ref="AG2:AG19" si="0">SUM(D2:AF2)</f>
        <v>4867</v>
      </c>
    </row>
    <row r="3" spans="1:33" ht="18.75" customHeight="1" x14ac:dyDescent="0.2">
      <c r="A3" s="693"/>
      <c r="B3" s="286" t="s">
        <v>302</v>
      </c>
      <c r="C3" s="695"/>
      <c r="D3" s="19">
        <f>IF(szeg!C2&lt;&gt;"",szeg!C2,"")</f>
        <v>380</v>
      </c>
      <c r="E3" s="19">
        <f>IF(szeg!D2&lt;&gt;"",szeg!D2,"")</f>
        <v>1183</v>
      </c>
      <c r="F3" s="19">
        <f>IF(szeg!E2&lt;&gt;"",szeg!E2,"")</f>
        <v>357</v>
      </c>
      <c r="G3" s="19">
        <f>IF(szeg!F2&lt;&gt;"",szeg!F2,"")</f>
        <v>686</v>
      </c>
      <c r="H3" s="19">
        <f>IF(szeg!G2&lt;&gt;"",szeg!G2,"")</f>
        <v>7138</v>
      </c>
      <c r="I3" s="19">
        <f>IF(szeg!H2&lt;&gt;"",szeg!H2,"")</f>
        <v>4221</v>
      </c>
      <c r="J3" s="19">
        <f>IF(szeg!I2&lt;&gt;"",szeg!I2,"")</f>
        <v>530</v>
      </c>
      <c r="K3" s="19">
        <f>IF(szeg!J2&lt;&gt;"",szeg!J2,"")</f>
        <v>974</v>
      </c>
      <c r="L3" s="19">
        <f>IF(szeg!K2&lt;&gt;"",szeg!K2,"")</f>
        <v>608</v>
      </c>
      <c r="M3" s="19">
        <f>IF(szeg!L2&lt;&gt;"",szeg!L2,"")</f>
        <v>274</v>
      </c>
      <c r="N3" s="19">
        <f>IF(szeg!M2&lt;&gt;"",szeg!M2,"")</f>
        <v>117576</v>
      </c>
      <c r="O3" s="19">
        <f>IF(szeg!N2&lt;&gt;"",szeg!N2,"")</f>
        <v>253</v>
      </c>
      <c r="P3" s="19">
        <f>IF(szeg!O2&lt;&gt;"",szeg!O2,"")</f>
        <v>58</v>
      </c>
      <c r="Q3" s="19" t="str">
        <f>IF(szeg!P2&lt;&gt;"",szeg!P2,"")</f>
        <v/>
      </c>
      <c r="R3" s="19"/>
      <c r="S3" s="19">
        <f>IF(szeg!Q2&lt;&gt;"",szeg!Q2,"")</f>
        <v>34</v>
      </c>
      <c r="T3" s="19">
        <f>IF(szeg!R2&lt;&gt;"",szeg!R2,"")</f>
        <v>922</v>
      </c>
      <c r="U3" s="19"/>
      <c r="V3" s="19">
        <f>IF(szeg!S2&lt;&gt;"",szeg!S2,"")</f>
        <v>224</v>
      </c>
      <c r="W3" s="19">
        <f>IF(szeg!T2&lt;&gt;"",szeg!T2,"")</f>
        <v>171</v>
      </c>
      <c r="X3" s="19">
        <f>IF(szeg!U2&lt;&gt;"",szeg!U2,"")</f>
        <v>323</v>
      </c>
      <c r="Y3" s="19"/>
      <c r="Z3" s="19">
        <f>IF(szeg!V2&lt;&gt;"",szeg!V2,"")</f>
        <v>3789</v>
      </c>
      <c r="AA3" s="19">
        <f>IF(szeg!W2&lt;&gt;"",szeg!W2,"")</f>
        <v>34834</v>
      </c>
      <c r="AB3" s="19" t="str">
        <f>IF(szeg!X2&lt;&gt;"",szeg!X2,"")</f>
        <v/>
      </c>
      <c r="AC3" s="19" t="str">
        <f>IF(szeg!Y2&lt;&gt;"",szeg!Y2,"")</f>
        <v/>
      </c>
      <c r="AD3" s="19" t="str">
        <f>IF(szeg!Z2&lt;&gt;"",szeg!Z2,"")</f>
        <v/>
      </c>
      <c r="AE3" s="19"/>
      <c r="AF3" s="19">
        <f>IF(szeg!AB2&lt;&gt;"",szeg!AB2,"")</f>
        <v>1352</v>
      </c>
      <c r="AG3" s="12">
        <f t="shared" si="0"/>
        <v>175887</v>
      </c>
    </row>
    <row r="4" spans="1:33" ht="18.75" customHeight="1" x14ac:dyDescent="0.2">
      <c r="A4" s="692" t="s">
        <v>260</v>
      </c>
      <c r="B4" s="286" t="s">
        <v>301</v>
      </c>
      <c r="C4" s="694">
        <v>52</v>
      </c>
      <c r="D4" s="19">
        <f>IF(vis!C3&lt;&gt;"",vis!C3,"")</f>
        <v>2164</v>
      </c>
      <c r="E4" s="19">
        <f>IF(vis!D3&lt;&gt;"",vis!D3,"")</f>
        <v>2264</v>
      </c>
      <c r="F4" s="19">
        <f>IF(vis!E3&lt;&gt;"",vis!E3,"")</f>
        <v>4231</v>
      </c>
      <c r="G4" s="19">
        <f>IF(vis!F3&lt;&gt;"",vis!F3,"")</f>
        <v>3208</v>
      </c>
      <c r="H4" s="19"/>
      <c r="I4" s="19"/>
      <c r="J4" s="19">
        <f>IF(vis!G3&lt;&gt;"",vis!G3,"")</f>
        <v>3417</v>
      </c>
      <c r="K4" s="19"/>
      <c r="L4" s="19">
        <f>IF(vis!H3&lt;&gt;"",vis!H3,"")</f>
        <v>7618</v>
      </c>
      <c r="M4" s="19">
        <f>IF(vis!I3&lt;&gt;"",vis!I3,"")</f>
        <v>5316</v>
      </c>
      <c r="N4" s="19"/>
      <c r="O4" s="19">
        <f>IF(vis!J3&lt;&gt;"",vis!J3,"")</f>
        <v>3667</v>
      </c>
      <c r="P4" s="19"/>
      <c r="Q4" s="19"/>
      <c r="R4" s="19" t="str">
        <f>IF(vis!K3&lt;&gt;"",vis!K3,"")</f>
        <v/>
      </c>
      <c r="S4" s="19"/>
      <c r="T4" s="19"/>
      <c r="U4" s="19">
        <f>IF(vis!L3&lt;&gt;"",vis!L3,"")</f>
        <v>1405</v>
      </c>
      <c r="V4" s="19">
        <f>IF(vis!M3&lt;&gt;"",vis!M3,"")</f>
        <v>1269</v>
      </c>
      <c r="W4" s="19"/>
      <c r="X4" s="19"/>
      <c r="Y4" s="19">
        <f>IF(vis!N3&lt;&gt;"",vis!N3,"")</f>
        <v>3744</v>
      </c>
      <c r="Z4" s="19"/>
      <c r="AA4" s="19"/>
      <c r="AB4" s="19"/>
      <c r="AC4" s="19"/>
      <c r="AD4" s="19"/>
      <c r="AE4" s="19"/>
      <c r="AF4" s="19"/>
      <c r="AG4" s="12">
        <f t="shared" si="0"/>
        <v>38303</v>
      </c>
    </row>
    <row r="5" spans="1:33" ht="18.75" customHeight="1" x14ac:dyDescent="0.2">
      <c r="A5" s="693"/>
      <c r="B5" s="286" t="s">
        <v>302</v>
      </c>
      <c r="C5" s="695"/>
      <c r="D5" s="19">
        <f>IF(szeg!C3&lt;&gt;"",szeg!C3,"")</f>
        <v>1522</v>
      </c>
      <c r="E5" s="19">
        <f>IF(szeg!D3&lt;&gt;"",szeg!D3,"")</f>
        <v>2835</v>
      </c>
      <c r="F5" s="19">
        <f>IF(szeg!E3&lt;&gt;"",szeg!E3,"")</f>
        <v>3329</v>
      </c>
      <c r="G5" s="19">
        <f>IF(szeg!F3&lt;&gt;"",szeg!F3,"")</f>
        <v>3330</v>
      </c>
      <c r="H5" s="19">
        <f>IF(szeg!G3&lt;&gt;"",szeg!G3,"")</f>
        <v>7891</v>
      </c>
      <c r="I5" s="19">
        <f>IF(szeg!H3&lt;&gt;"",szeg!H3,"")</f>
        <v>1822</v>
      </c>
      <c r="J5" s="19">
        <f>IF(szeg!I3&lt;&gt;"",szeg!I3,"")</f>
        <v>5234</v>
      </c>
      <c r="K5" s="19">
        <f>IF(szeg!J3&lt;&gt;"",szeg!J3,"")</f>
        <v>4099</v>
      </c>
      <c r="L5" s="19">
        <f>IF(szeg!K3&lt;&gt;"",szeg!K3,"")</f>
        <v>4677</v>
      </c>
      <c r="M5" s="19">
        <f>IF(szeg!L3&lt;&gt;"",szeg!L3,"")</f>
        <v>3467</v>
      </c>
      <c r="N5" s="19">
        <f>IF(szeg!M3&lt;&gt;"",szeg!M3,"")</f>
        <v>17403</v>
      </c>
      <c r="O5" s="19">
        <f>IF(szeg!N3&lt;&gt;"",szeg!N3,"")</f>
        <v>2029</v>
      </c>
      <c r="P5" s="19">
        <f>IF(szeg!O3&lt;&gt;"",szeg!O3,"")</f>
        <v>34</v>
      </c>
      <c r="Q5" s="19">
        <f>IF(szeg!P3&lt;&gt;"",szeg!P3,"")</f>
        <v>939</v>
      </c>
      <c r="R5" s="19"/>
      <c r="S5" s="19">
        <f>IF(szeg!Q3&lt;&gt;"",szeg!Q3,"")</f>
        <v>1531</v>
      </c>
      <c r="T5" s="19">
        <f>IF(szeg!R3&lt;&gt;"",szeg!R3,"")</f>
        <v>6702</v>
      </c>
      <c r="U5" s="19"/>
      <c r="V5" s="19">
        <f>IF(szeg!S3&lt;&gt;"",szeg!S3,"")</f>
        <v>889</v>
      </c>
      <c r="W5" s="19">
        <f>IF(szeg!T3&lt;&gt;"",szeg!T3,"")</f>
        <v>925</v>
      </c>
      <c r="X5" s="19">
        <f>IF(szeg!U3&lt;&gt;"",szeg!U3,"")</f>
        <v>3013</v>
      </c>
      <c r="Y5" s="19"/>
      <c r="Z5" s="19">
        <f>IF(szeg!V3&lt;&gt;"",szeg!V3,"")</f>
        <v>2473</v>
      </c>
      <c r="AA5" s="19">
        <f>IF(szeg!W3&lt;&gt;"",szeg!W3,"")</f>
        <v>19980</v>
      </c>
      <c r="AB5" s="19">
        <f>IF(szeg!X3&lt;&gt;"",szeg!X3,"")</f>
        <v>970</v>
      </c>
      <c r="AC5" s="19">
        <f>IF(szeg!Y3&lt;&gt;"",szeg!Y3,"")</f>
        <v>663</v>
      </c>
      <c r="AD5" s="19">
        <f>IF(szeg!Z3&lt;&gt;"",szeg!Z3,"")</f>
        <v>7923</v>
      </c>
      <c r="AE5" s="19" t="str">
        <f>IF(szeg!AA3&lt;&gt;"",szeg!AA3,"")</f>
        <v/>
      </c>
      <c r="AF5" s="19">
        <f>IF(szeg!AB3&lt;&gt;"",szeg!AB3,"")</f>
        <v>1740</v>
      </c>
      <c r="AG5" s="12">
        <f t="shared" si="0"/>
        <v>105420</v>
      </c>
    </row>
    <row r="6" spans="1:33" ht="18.75" customHeight="1" x14ac:dyDescent="0.2">
      <c r="A6" s="692" t="s">
        <v>261</v>
      </c>
      <c r="B6" s="286" t="s">
        <v>301</v>
      </c>
      <c r="C6" s="694">
        <v>53</v>
      </c>
      <c r="D6" s="19">
        <f>IF(vis!C4&lt;&gt;"",vis!C4,"")</f>
        <v>35</v>
      </c>
      <c r="E6" s="19">
        <f>IF(vis!D4&lt;&gt;"",vis!D4,"")</f>
        <v>109</v>
      </c>
      <c r="F6" s="19">
        <f>IF(vis!E4&lt;&gt;"",vis!E4,"")</f>
        <v>49</v>
      </c>
      <c r="G6" s="19">
        <f>IF(vis!F4&lt;&gt;"",vis!F4,"")</f>
        <v>36</v>
      </c>
      <c r="H6" s="19"/>
      <c r="I6" s="19"/>
      <c r="J6" s="19">
        <f>IF(vis!G4&lt;&gt;"",vis!G4,"")</f>
        <v>49</v>
      </c>
      <c r="K6" s="19"/>
      <c r="L6" s="19">
        <f>IF(vis!H4&lt;&gt;"",vis!H4,"")</f>
        <v>35</v>
      </c>
      <c r="M6" s="19">
        <f>IF(vis!I4&lt;&gt;"",vis!I4,"")</f>
        <v>40</v>
      </c>
      <c r="N6" s="19"/>
      <c r="O6" s="19">
        <f>IF(vis!J4&lt;&gt;"",vis!J4,"")</f>
        <v>48</v>
      </c>
      <c r="P6" s="19"/>
      <c r="Q6" s="19"/>
      <c r="R6" s="19">
        <f>IF(vis!K4&lt;&gt;"",vis!K4,"")</f>
        <v>350</v>
      </c>
      <c r="S6" s="19"/>
      <c r="T6" s="19"/>
      <c r="U6" s="19">
        <f>IF(vis!L4&lt;&gt;"",vis!L4,"")</f>
        <v>14</v>
      </c>
      <c r="V6" s="19">
        <f>IF(vis!M4&lt;&gt;"",vis!M4,"")</f>
        <v>1</v>
      </c>
      <c r="W6" s="19"/>
      <c r="X6" s="19"/>
      <c r="Y6" s="19">
        <f>IF(vis!N4&lt;&gt;"",vis!N4,"")</f>
        <v>53</v>
      </c>
      <c r="Z6" s="19"/>
      <c r="AA6" s="19"/>
      <c r="AB6" s="19"/>
      <c r="AC6" s="19"/>
      <c r="AD6" s="19"/>
      <c r="AE6" s="19"/>
      <c r="AF6" s="19"/>
      <c r="AG6" s="12">
        <f t="shared" si="0"/>
        <v>819</v>
      </c>
    </row>
    <row r="7" spans="1:33" ht="18.75" customHeight="1" x14ac:dyDescent="0.2">
      <c r="A7" s="693"/>
      <c r="B7" s="286" t="s">
        <v>302</v>
      </c>
      <c r="C7" s="695"/>
      <c r="D7" s="19">
        <f>IF(szeg!C4&lt;&gt;"",szeg!C4,"")</f>
        <v>35</v>
      </c>
      <c r="E7" s="19">
        <f>IF(szeg!D4&lt;&gt;"",szeg!D4,"")</f>
        <v>115</v>
      </c>
      <c r="F7" s="19">
        <f>IF(szeg!E4&lt;&gt;"",szeg!E4,"")</f>
        <v>68</v>
      </c>
      <c r="G7" s="19">
        <f>IF(szeg!F4&lt;&gt;"",szeg!F4,"")</f>
        <v>29</v>
      </c>
      <c r="H7" s="19">
        <f>IF(szeg!G4&lt;&gt;"",szeg!G4,"")</f>
        <v>98</v>
      </c>
      <c r="I7" s="19">
        <f>IF(szeg!H4&lt;&gt;"",szeg!H4,"")</f>
        <v>42</v>
      </c>
      <c r="J7" s="19">
        <f>IF(szeg!I4&lt;&gt;"",szeg!I4,"")</f>
        <v>56</v>
      </c>
      <c r="K7" s="19">
        <f>IF(szeg!J4&lt;&gt;"",szeg!J4,"")</f>
        <v>57</v>
      </c>
      <c r="L7" s="19">
        <f>IF(szeg!K4&lt;&gt;"",szeg!K4,"")</f>
        <v>34</v>
      </c>
      <c r="M7" s="19">
        <f>IF(szeg!L4&lt;&gt;"",szeg!L4,"")</f>
        <v>47</v>
      </c>
      <c r="N7" s="19">
        <f>IF(szeg!M4&lt;&gt;"",szeg!M4,"")</f>
        <v>477</v>
      </c>
      <c r="O7" s="19">
        <f>IF(szeg!N4&lt;&gt;"",szeg!N4,"")</f>
        <v>48</v>
      </c>
      <c r="P7" s="19" t="str">
        <f>IF(szeg!O4&lt;&gt;"",szeg!O4,"")</f>
        <v/>
      </c>
      <c r="Q7" s="19">
        <f>IF(szeg!P4&lt;&gt;"",szeg!P4,"")</f>
        <v>7</v>
      </c>
      <c r="R7" s="19"/>
      <c r="S7" s="19">
        <f>IF(szeg!Q4&lt;&gt;"",szeg!Q4,"")</f>
        <v>26</v>
      </c>
      <c r="T7" s="19">
        <f>IF(szeg!R4&lt;&gt;"",szeg!R4,"")</f>
        <v>143</v>
      </c>
      <c r="U7" s="19"/>
      <c r="V7" s="19">
        <f>IF(szeg!S4&lt;&gt;"",szeg!S4,"")</f>
        <v>1</v>
      </c>
      <c r="W7" s="19">
        <f>IF(szeg!T4&lt;&gt;"",szeg!T4,"")</f>
        <v>21</v>
      </c>
      <c r="X7" s="19">
        <f>IF(szeg!U4&lt;&gt;"",szeg!U4,"")</f>
        <v>35</v>
      </c>
      <c r="Y7" s="19"/>
      <c r="Z7" s="19">
        <f>IF(szeg!V4&lt;&gt;"",szeg!V4,"")</f>
        <v>29</v>
      </c>
      <c r="AA7" s="19">
        <f>IF(szeg!W4&lt;&gt;"",szeg!W4,"")</f>
        <v>171</v>
      </c>
      <c r="AB7" s="19">
        <f>IF(szeg!X4&lt;&gt;"",szeg!X4,"")</f>
        <v>7</v>
      </c>
      <c r="AC7" s="19" t="str">
        <f>IF(szeg!Y4&lt;&gt;"",szeg!Y4,"")</f>
        <v/>
      </c>
      <c r="AD7" s="19">
        <f>IF(szeg!Z4&lt;&gt;"",szeg!Z4,"")</f>
        <v>1</v>
      </c>
      <c r="AE7" s="19" t="str">
        <f>IF(szeg!AA4&lt;&gt;"",szeg!AA4,"")</f>
        <v/>
      </c>
      <c r="AF7" s="19">
        <f>IF(szeg!AB4&lt;&gt;"",szeg!AB4,"")</f>
        <v>8</v>
      </c>
      <c r="AG7" s="12">
        <f t="shared" si="0"/>
        <v>1555</v>
      </c>
    </row>
    <row r="8" spans="1:33" ht="18.75" customHeight="1" x14ac:dyDescent="0.2">
      <c r="A8" s="692" t="s">
        <v>262</v>
      </c>
      <c r="B8" s="286" t="s">
        <v>301</v>
      </c>
      <c r="C8" s="694">
        <v>54</v>
      </c>
      <c r="D8" s="19">
        <f>IF(vis!C5&lt;&gt;"",vis!C5,"")</f>
        <v>15327</v>
      </c>
      <c r="E8" s="19">
        <f>IF(vis!D5&lt;&gt;"",vis!D5,"")</f>
        <v>17330</v>
      </c>
      <c r="F8" s="19">
        <f>IF(vis!E5&lt;&gt;"",vis!E5,"")</f>
        <v>22002</v>
      </c>
      <c r="G8" s="19">
        <f>IF(vis!F5&lt;&gt;"",vis!F5,"")</f>
        <v>16588</v>
      </c>
      <c r="H8" s="19"/>
      <c r="I8" s="19"/>
      <c r="J8" s="19">
        <f>IF(vis!G5&lt;&gt;"",vis!G5,"")</f>
        <v>24381</v>
      </c>
      <c r="K8" s="19"/>
      <c r="L8" s="19">
        <f>IF(vis!H5&lt;&gt;"",vis!H5,"")</f>
        <v>9995</v>
      </c>
      <c r="M8" s="19">
        <f>IF(vis!I5&lt;&gt;"",vis!I5,"")</f>
        <v>10798</v>
      </c>
      <c r="N8" s="19"/>
      <c r="O8" s="19">
        <f>IF(vis!J5&lt;&gt;"",vis!J5,"")</f>
        <v>19720</v>
      </c>
      <c r="P8" s="19"/>
      <c r="Q8" s="19"/>
      <c r="R8" s="19" t="str">
        <f>IF(vis!K5&lt;&gt;"",vis!K5,"")</f>
        <v/>
      </c>
      <c r="S8" s="19"/>
      <c r="T8" s="19"/>
      <c r="U8" s="19">
        <f>IF(vis!L5&lt;&gt;"",vis!L5,"")</f>
        <v>7159</v>
      </c>
      <c r="V8" s="19">
        <f>IF(vis!M5&lt;&gt;"",vis!M5,"")</f>
        <v>3961</v>
      </c>
      <c r="W8" s="19"/>
      <c r="X8" s="19"/>
      <c r="Y8" s="19">
        <f>IF(vis!N5&lt;&gt;"",vis!N5,"")</f>
        <v>16146</v>
      </c>
      <c r="Z8" s="19"/>
      <c r="AA8" s="19"/>
      <c r="AB8" s="19"/>
      <c r="AC8" s="19"/>
      <c r="AD8" s="19"/>
      <c r="AE8" s="19"/>
      <c r="AF8" s="19"/>
      <c r="AG8" s="12">
        <f t="shared" si="0"/>
        <v>163407</v>
      </c>
    </row>
    <row r="9" spans="1:33" ht="18.75" customHeight="1" x14ac:dyDescent="0.2">
      <c r="A9" s="693"/>
      <c r="B9" s="286" t="s">
        <v>302</v>
      </c>
      <c r="C9" s="695"/>
      <c r="D9" s="19">
        <f>IF(szeg!C5&lt;&gt;"",szeg!C5,"")</f>
        <v>18465</v>
      </c>
      <c r="E9" s="19">
        <f>IF(szeg!D5&lt;&gt;"",szeg!D5,"")</f>
        <v>14334</v>
      </c>
      <c r="F9" s="19">
        <f>IF(szeg!E5&lt;&gt;"",szeg!E5,"")</f>
        <v>23524</v>
      </c>
      <c r="G9" s="19">
        <f>IF(szeg!F5&lt;&gt;"",szeg!F5,"")</f>
        <v>17163</v>
      </c>
      <c r="H9" s="19">
        <f>IF(szeg!G5&lt;&gt;"",szeg!G5,"")</f>
        <v>45894</v>
      </c>
      <c r="I9" s="19">
        <f>IF(szeg!H5&lt;&gt;"",szeg!H5,"")</f>
        <v>21065</v>
      </c>
      <c r="J9" s="19">
        <f>IF(szeg!I5&lt;&gt;"",szeg!I5,"")</f>
        <v>25718</v>
      </c>
      <c r="K9" s="19">
        <f>IF(szeg!J5&lt;&gt;"",szeg!J5,"")</f>
        <v>29029</v>
      </c>
      <c r="L9" s="19">
        <f>IF(szeg!K5&lt;&gt;"",szeg!K5,"")</f>
        <v>10361</v>
      </c>
      <c r="M9" s="19">
        <f>IF(szeg!L5&lt;&gt;"",szeg!L5,"")</f>
        <v>14857</v>
      </c>
      <c r="N9" s="19">
        <f>IF(szeg!M5&lt;&gt;"",szeg!M5,"")</f>
        <v>69226</v>
      </c>
      <c r="O9" s="19">
        <f>IF(szeg!N5&lt;&gt;"",szeg!N5,"")</f>
        <v>20056</v>
      </c>
      <c r="P9" s="19" t="str">
        <f>IF(szeg!O5&lt;&gt;"",szeg!O5,"")</f>
        <v/>
      </c>
      <c r="Q9" s="19">
        <f>IF(szeg!P5&lt;&gt;"",szeg!P5,"")</f>
        <v>2302</v>
      </c>
      <c r="R9" s="19"/>
      <c r="S9" s="19">
        <f>IF(szeg!Q5&lt;&gt;"",szeg!Q5,"")</f>
        <v>4090</v>
      </c>
      <c r="T9" s="19">
        <f>IF(szeg!R5&lt;&gt;"",szeg!R5,"")</f>
        <v>65157</v>
      </c>
      <c r="U9" s="19"/>
      <c r="V9" s="19">
        <f>IF(szeg!S5&lt;&gt;"",szeg!S5,"")</f>
        <v>4222</v>
      </c>
      <c r="W9" s="19">
        <f>IF(szeg!T5&lt;&gt;"",szeg!T5,"")</f>
        <v>12319</v>
      </c>
      <c r="X9" s="19">
        <f>IF(szeg!U5&lt;&gt;"",szeg!U5,"")</f>
        <v>14499</v>
      </c>
      <c r="Y9" s="19"/>
      <c r="Z9" s="19">
        <f>IF(szeg!V5&lt;&gt;"",szeg!V5,"")</f>
        <v>11344</v>
      </c>
      <c r="AA9" s="19">
        <f>IF(szeg!W5&lt;&gt;"",szeg!W5,"")</f>
        <v>41313</v>
      </c>
      <c r="AB9" s="19">
        <f>IF(szeg!X5&lt;&gt;"",szeg!X5,"")</f>
        <v>4000</v>
      </c>
      <c r="AC9" s="19">
        <f>IF(szeg!Y5&lt;&gt;"",szeg!Y5,"")</f>
        <v>168</v>
      </c>
      <c r="AD9" s="19" t="str">
        <f>IF(szeg!Z5&lt;&gt;"",szeg!Z5,"")</f>
        <v/>
      </c>
      <c r="AE9" s="19" t="str">
        <f>IF(szeg!AA5&lt;&gt;"",szeg!AA5,"")</f>
        <v/>
      </c>
      <c r="AF9" s="19">
        <f>IF(szeg!AB5&lt;&gt;"",szeg!AB5,"")</f>
        <v>4724</v>
      </c>
      <c r="AG9" s="12">
        <f t="shared" si="0"/>
        <v>473830</v>
      </c>
    </row>
    <row r="10" spans="1:33" ht="18.75" customHeight="1" x14ac:dyDescent="0.2">
      <c r="A10" s="692" t="s">
        <v>263</v>
      </c>
      <c r="B10" s="286" t="s">
        <v>301</v>
      </c>
      <c r="C10" s="694">
        <v>55</v>
      </c>
      <c r="D10" s="19">
        <f>IF(vis!C6&lt;&gt;"",vis!C6,"")</f>
        <v>596</v>
      </c>
      <c r="E10" s="19">
        <f>IF(vis!D6&lt;&gt;"",vis!D6,"")</f>
        <v>643</v>
      </c>
      <c r="F10" s="19">
        <f>IF(vis!E6&lt;&gt;"",vis!E6,"")</f>
        <v>1585</v>
      </c>
      <c r="G10" s="19">
        <f>IF(vis!F6&lt;&gt;"",vis!F6,"")</f>
        <v>1049</v>
      </c>
      <c r="H10" s="19"/>
      <c r="I10" s="19"/>
      <c r="J10" s="19">
        <f>IF(vis!G6&lt;&gt;"",vis!G6,"")</f>
        <v>717</v>
      </c>
      <c r="K10" s="19"/>
      <c r="L10" s="19">
        <f>IF(vis!H6&lt;&gt;"",vis!H6,"")</f>
        <v>667</v>
      </c>
      <c r="M10" s="19">
        <f>IF(vis!I6&lt;&gt;"",vis!I6,"")</f>
        <v>1278</v>
      </c>
      <c r="N10" s="19"/>
      <c r="O10" s="19">
        <f>IF(vis!J6&lt;&gt;"",vis!J6,"")</f>
        <v>780</v>
      </c>
      <c r="P10" s="19"/>
      <c r="Q10" s="19"/>
      <c r="R10" s="19" t="str">
        <f>IF(vis!K6&lt;&gt;"",vis!K6,"")</f>
        <v/>
      </c>
      <c r="S10" s="19"/>
      <c r="T10" s="19"/>
      <c r="U10" s="19">
        <f>IF(vis!L6&lt;&gt;"",vis!L6,"")</f>
        <v>227</v>
      </c>
      <c r="V10" s="19">
        <f>IF(vis!M6&lt;&gt;"",vis!M6,"")</f>
        <v>426</v>
      </c>
      <c r="W10" s="19"/>
      <c r="X10" s="19"/>
      <c r="Y10" s="19">
        <f>IF(vis!N6&lt;&gt;"",vis!N6,"")</f>
        <v>380</v>
      </c>
      <c r="Z10" s="19"/>
      <c r="AA10" s="19"/>
      <c r="AB10" s="19"/>
      <c r="AC10" s="19"/>
      <c r="AD10" s="19"/>
      <c r="AE10" s="19"/>
      <c r="AF10" s="19"/>
      <c r="AG10" s="12">
        <f t="shared" si="0"/>
        <v>8348</v>
      </c>
    </row>
    <row r="11" spans="1:33" ht="18.75" customHeight="1" x14ac:dyDescent="0.2">
      <c r="A11" s="693"/>
      <c r="B11" s="286" t="s">
        <v>302</v>
      </c>
      <c r="C11" s="695"/>
      <c r="D11" s="19">
        <f>IF(szeg!C6&lt;&gt;"",szeg!C6,"")</f>
        <v>709</v>
      </c>
      <c r="E11" s="19">
        <f>IF(szeg!D6&lt;&gt;"",szeg!D6,"")</f>
        <v>962</v>
      </c>
      <c r="F11" s="19">
        <f>IF(szeg!E6&lt;&gt;"",szeg!E6,"")</f>
        <v>1491</v>
      </c>
      <c r="G11" s="19">
        <f>IF(szeg!F6&lt;&gt;"",szeg!F6,"")</f>
        <v>1340</v>
      </c>
      <c r="H11" s="19">
        <f>IF(szeg!G6&lt;&gt;"",szeg!G6,"")</f>
        <v>1982</v>
      </c>
      <c r="I11" s="19">
        <f>IF(szeg!H6&lt;&gt;"",szeg!H6,"")</f>
        <v>880</v>
      </c>
      <c r="J11" s="19">
        <f>IF(szeg!I6&lt;&gt;"",szeg!I6,"")</f>
        <v>820</v>
      </c>
      <c r="K11" s="19">
        <f>IF(szeg!J6&lt;&gt;"",szeg!J6,"")</f>
        <v>905</v>
      </c>
      <c r="L11" s="19">
        <f>IF(szeg!K6&lt;&gt;"",szeg!K6,"")</f>
        <v>852</v>
      </c>
      <c r="M11" s="19">
        <f>IF(szeg!L6&lt;&gt;"",szeg!L6,"")</f>
        <v>793</v>
      </c>
      <c r="N11" s="19">
        <f>IF(szeg!M6&lt;&gt;"",szeg!M6,"")</f>
        <v>5651</v>
      </c>
      <c r="O11" s="19">
        <f>IF(szeg!N6&lt;&gt;"",szeg!N6,"")</f>
        <v>984</v>
      </c>
      <c r="P11" s="19" t="str">
        <f>IF(szeg!O6&lt;&gt;"",szeg!O6,"")</f>
        <v/>
      </c>
      <c r="Q11" s="19">
        <f>IF(szeg!P6&lt;&gt;"",szeg!P6,"")</f>
        <v>70</v>
      </c>
      <c r="R11" s="19"/>
      <c r="S11" s="19">
        <f>IF(szeg!Q6&lt;&gt;"",szeg!Q6,"")</f>
        <v>119</v>
      </c>
      <c r="T11" s="19">
        <f>IF(szeg!R6&lt;&gt;"",szeg!R6,"")</f>
        <v>2674</v>
      </c>
      <c r="U11" s="19"/>
      <c r="V11" s="19">
        <f>IF(szeg!S6&lt;&gt;"",szeg!S6,"")</f>
        <v>200</v>
      </c>
      <c r="W11" s="19">
        <f>IF(szeg!T6&lt;&gt;"",szeg!T6,"")</f>
        <v>365</v>
      </c>
      <c r="X11" s="19">
        <f>IF(szeg!U6&lt;&gt;"",szeg!U6,"")</f>
        <v>322</v>
      </c>
      <c r="Y11" s="19"/>
      <c r="Z11" s="19">
        <f>IF(szeg!V6&lt;&gt;"",szeg!V6,"")</f>
        <v>1090</v>
      </c>
      <c r="AA11" s="19">
        <f>IF(szeg!W6&lt;&gt;"",szeg!W6,"")</f>
        <v>2007</v>
      </c>
      <c r="AB11" s="19">
        <f>IF(szeg!X6&lt;&gt;"",szeg!X6,"")</f>
        <v>321</v>
      </c>
      <c r="AC11" s="19" t="str">
        <f>IF(szeg!Y6&lt;&gt;"",szeg!Y6,"")</f>
        <v/>
      </c>
      <c r="AD11" s="19" t="str">
        <f>IF(szeg!Z6&lt;&gt;"",szeg!Z6,"")</f>
        <v/>
      </c>
      <c r="AE11" s="19" t="str">
        <f>IF(szeg!AA6&lt;&gt;"",szeg!AA6,"")</f>
        <v/>
      </c>
      <c r="AF11" s="19">
        <f>IF(szeg!AB6&lt;&gt;"",szeg!AB6,"")</f>
        <v>86</v>
      </c>
      <c r="AG11" s="12">
        <f t="shared" si="0"/>
        <v>24623</v>
      </c>
    </row>
    <row r="12" spans="1:33" ht="18.75" customHeight="1" x14ac:dyDescent="0.2">
      <c r="A12" s="692" t="s">
        <v>264</v>
      </c>
      <c r="B12" s="286" t="s">
        <v>301</v>
      </c>
      <c r="C12" s="694">
        <v>56</v>
      </c>
      <c r="D12" s="19">
        <f>IF(vis!C7&lt;&gt;"",vis!C7,"")</f>
        <v>3947</v>
      </c>
      <c r="E12" s="19">
        <f>IF(vis!D7&lt;&gt;"",vis!D7,"")</f>
        <v>4388</v>
      </c>
      <c r="F12" s="19">
        <f>IF(vis!E7&lt;&gt;"",vis!E7,"")</f>
        <v>5693</v>
      </c>
      <c r="G12" s="19">
        <f>IF(vis!F7&lt;&gt;"",vis!F7,"")</f>
        <v>4278</v>
      </c>
      <c r="H12" s="19"/>
      <c r="I12" s="19"/>
      <c r="J12" s="19">
        <f>IF(vis!G7&lt;&gt;"",vis!G7,"")</f>
        <v>6165</v>
      </c>
      <c r="K12" s="19"/>
      <c r="L12" s="19">
        <f>IF(vis!H7&lt;&gt;"",vis!H7,"")</f>
        <v>2744</v>
      </c>
      <c r="M12" s="19">
        <f>IF(vis!I7&lt;&gt;"",vis!I7,"")</f>
        <v>2977</v>
      </c>
      <c r="N12" s="19"/>
      <c r="O12" s="19">
        <f>IF(vis!J7&lt;&gt;"",vis!J7,"")</f>
        <v>5120</v>
      </c>
      <c r="P12" s="19"/>
      <c r="Q12" s="19"/>
      <c r="R12" s="19" t="str">
        <f>IF(vis!K7&lt;&gt;"",vis!K7,"")</f>
        <v/>
      </c>
      <c r="S12" s="19"/>
      <c r="T12" s="19"/>
      <c r="U12" s="19">
        <f>IF(vis!L7&lt;&gt;"",vis!L7,"")</f>
        <v>1682</v>
      </c>
      <c r="V12" s="19">
        <f>IF(vis!M7&lt;&gt;"",vis!M7,"")</f>
        <v>972</v>
      </c>
      <c r="W12" s="19"/>
      <c r="X12" s="19"/>
      <c r="Y12" s="19">
        <f>IF(vis!N7&lt;&gt;"",vis!N7,"")</f>
        <v>4300</v>
      </c>
      <c r="Z12" s="19"/>
      <c r="AA12" s="19"/>
      <c r="AB12" s="19"/>
      <c r="AC12" s="19"/>
      <c r="AD12" s="19"/>
      <c r="AE12" s="19"/>
      <c r="AF12" s="19"/>
      <c r="AG12" s="12">
        <f t="shared" si="0"/>
        <v>42266</v>
      </c>
    </row>
    <row r="13" spans="1:33" ht="18.75" customHeight="1" x14ac:dyDescent="0.2">
      <c r="A13" s="693"/>
      <c r="B13" s="286" t="s">
        <v>302</v>
      </c>
      <c r="C13" s="695"/>
      <c r="D13" s="19">
        <f>IF(szeg!C7&lt;&gt;"",szeg!C7,"")</f>
        <v>4487</v>
      </c>
      <c r="E13" s="19">
        <f>IF(szeg!D7&lt;&gt;"",szeg!D7,"")</f>
        <v>3945</v>
      </c>
      <c r="F13" s="19">
        <f>IF(szeg!E7&lt;&gt;"",szeg!E7,"")</f>
        <v>6060</v>
      </c>
      <c r="G13" s="19">
        <f>IF(szeg!F7&lt;&gt;"",szeg!F7,"")</f>
        <v>4596</v>
      </c>
      <c r="H13" s="19">
        <f>IF(szeg!G7&lt;&gt;"",szeg!G7,"")</f>
        <v>11491</v>
      </c>
      <c r="I13" s="19">
        <f>IF(szeg!H7&lt;&gt;"",szeg!H7,"")</f>
        <v>5197</v>
      </c>
      <c r="J13" s="19">
        <f>IF(szeg!I7&lt;&gt;"",szeg!I7,"")</f>
        <v>6737</v>
      </c>
      <c r="K13" s="19">
        <f>IF(szeg!J7&lt;&gt;"",szeg!J7,"")</f>
        <v>7516</v>
      </c>
      <c r="L13" s="19">
        <f>IF(szeg!K7&lt;&gt;"",szeg!K7,"")</f>
        <v>2944</v>
      </c>
      <c r="M13" s="19">
        <f>IF(szeg!L7&lt;&gt;"",szeg!L7,"")</f>
        <v>3823</v>
      </c>
      <c r="N13" s="19">
        <f>IF(szeg!M7&lt;&gt;"",szeg!M7,"")</f>
        <v>18177</v>
      </c>
      <c r="O13" s="19">
        <f>IF(szeg!N7&lt;&gt;"",szeg!N7,"")</f>
        <v>5647</v>
      </c>
      <c r="P13" s="19" t="str">
        <f>IF(szeg!O7&lt;&gt;"",szeg!O7,"")</f>
        <v/>
      </c>
      <c r="Q13" s="19">
        <f>IF(szeg!P7&lt;&gt;"",szeg!P7,"")</f>
        <v>522</v>
      </c>
      <c r="R13" s="19"/>
      <c r="S13" s="19">
        <f>IF(szeg!Q7&lt;&gt;"",szeg!Q7,"")</f>
        <v>969</v>
      </c>
      <c r="T13" s="19">
        <f>IF(szeg!R7&lt;&gt;"",szeg!R7,"")</f>
        <v>16410</v>
      </c>
      <c r="U13" s="19"/>
      <c r="V13" s="19">
        <f>IF(szeg!S7&lt;&gt;"",szeg!S7,"")</f>
        <v>995</v>
      </c>
      <c r="W13" s="19">
        <f>IF(szeg!T7&lt;&gt;"",szeg!T7,"")</f>
        <v>3427</v>
      </c>
      <c r="X13" s="19">
        <f>IF(szeg!U7&lt;&gt;"",szeg!U7,"")</f>
        <v>3677</v>
      </c>
      <c r="Y13" s="19"/>
      <c r="Z13" s="19">
        <f>IF(szeg!V7&lt;&gt;"",szeg!V7,"")</f>
        <v>3306</v>
      </c>
      <c r="AA13" s="19">
        <f>IF(szeg!W7&lt;&gt;"",szeg!W7,"")</f>
        <v>10897</v>
      </c>
      <c r="AB13" s="19">
        <f>IF(szeg!X7&lt;&gt;"",szeg!X7,"")</f>
        <v>1074</v>
      </c>
      <c r="AC13" s="19">
        <f>IF(szeg!Y7&lt;&gt;"",szeg!Y7,"")</f>
        <v>41</v>
      </c>
      <c r="AD13" s="19" t="str">
        <f>IF(szeg!Z7&lt;&gt;"",szeg!Z7,"")</f>
        <v/>
      </c>
      <c r="AE13" s="19" t="str">
        <f>IF(szeg!AA7&lt;&gt;"",szeg!AA7,"")</f>
        <v/>
      </c>
      <c r="AF13" s="19">
        <f>IF(szeg!AB7&lt;&gt;"",szeg!AB7,"")</f>
        <v>1202</v>
      </c>
      <c r="AG13" s="12">
        <f t="shared" si="0"/>
        <v>123140</v>
      </c>
    </row>
    <row r="14" spans="1:33" ht="18.75" customHeight="1" x14ac:dyDescent="0.2">
      <c r="A14" s="692" t="s">
        <v>265</v>
      </c>
      <c r="B14" s="286" t="s">
        <v>301</v>
      </c>
      <c r="C14" s="694">
        <v>57</v>
      </c>
      <c r="D14" s="19">
        <f>IF(vis!C8&lt;&gt;"",vis!C8,"")</f>
        <v>1807</v>
      </c>
      <c r="E14" s="19">
        <f>IF(vis!D8&lt;&gt;"",vis!D8,"")</f>
        <v>606</v>
      </c>
      <c r="F14" s="19">
        <f>IF(vis!E8&lt;&gt;"",vis!E8,"")</f>
        <v>237</v>
      </c>
      <c r="G14" s="19">
        <f>IF(vis!F8&lt;&gt;"",vis!F8,"")</f>
        <v>486</v>
      </c>
      <c r="H14" s="19"/>
      <c r="I14" s="19"/>
      <c r="J14" s="19">
        <f>IF(vis!G8&lt;&gt;"",vis!G8,"")</f>
        <v>1023</v>
      </c>
      <c r="K14" s="19"/>
      <c r="L14" s="19">
        <f>IF(vis!H8&lt;&gt;"",vis!H8,"")</f>
        <v>2705</v>
      </c>
      <c r="M14" s="19">
        <f>IF(vis!I8&lt;&gt;"",vis!I8,"")</f>
        <v>73</v>
      </c>
      <c r="N14" s="19"/>
      <c r="O14" s="19">
        <f>IF(vis!J8&lt;&gt;"",vis!J8,"")</f>
        <v>237</v>
      </c>
      <c r="P14" s="19"/>
      <c r="Q14" s="19"/>
      <c r="R14" s="19">
        <f>IF(vis!K8&lt;&gt;"",vis!K8,"")</f>
        <v>67</v>
      </c>
      <c r="S14" s="19"/>
      <c r="T14" s="19"/>
      <c r="U14" s="19">
        <f>IF(vis!L8&lt;&gt;"",vis!L8,"")</f>
        <v>365</v>
      </c>
      <c r="V14" s="19">
        <f>IF(vis!M8&lt;&gt;"",vis!M8,"")</f>
        <v>88</v>
      </c>
      <c r="W14" s="19"/>
      <c r="X14" s="19"/>
      <c r="Y14" s="19">
        <f>IF(vis!N8&lt;&gt;"",vis!N8,"")</f>
        <v>944</v>
      </c>
      <c r="Z14" s="19"/>
      <c r="AA14" s="19"/>
      <c r="AB14" s="19"/>
      <c r="AC14" s="19"/>
      <c r="AD14" s="19"/>
      <c r="AE14" s="19"/>
      <c r="AF14" s="19"/>
      <c r="AG14" s="12">
        <f t="shared" si="0"/>
        <v>8638</v>
      </c>
    </row>
    <row r="15" spans="1:33" ht="18.75" customHeight="1" x14ac:dyDescent="0.2">
      <c r="A15" s="693"/>
      <c r="B15" s="286" t="s">
        <v>302</v>
      </c>
      <c r="C15" s="695"/>
      <c r="D15" s="19">
        <f>IF(szeg!C8&lt;&gt;"",szeg!C8,"")</f>
        <v>463</v>
      </c>
      <c r="E15" s="19">
        <f>IF(szeg!D8&lt;&gt;"",szeg!D8,"")</f>
        <v>3903</v>
      </c>
      <c r="F15" s="19">
        <f>IF(szeg!E8&lt;&gt;"",szeg!E8,"")</f>
        <v>75</v>
      </c>
      <c r="G15" s="19">
        <f>IF(szeg!F8&lt;&gt;"",szeg!F8,"")</f>
        <v>2185</v>
      </c>
      <c r="H15" s="19">
        <f>IF(szeg!G8&lt;&gt;"",szeg!G8,"")</f>
        <v>1348</v>
      </c>
      <c r="I15" s="19">
        <f>IF(szeg!H8&lt;&gt;"",szeg!H8,"")</f>
        <v>48</v>
      </c>
      <c r="J15" s="19">
        <f>IF(szeg!I8&lt;&gt;"",szeg!I8,"")</f>
        <v>1386</v>
      </c>
      <c r="K15" s="19">
        <f>IF(szeg!J8&lt;&gt;"",szeg!J8,"")</f>
        <v>7506</v>
      </c>
      <c r="L15" s="19">
        <f>IF(szeg!K8&lt;&gt;"",szeg!K8,"")</f>
        <v>1333</v>
      </c>
      <c r="M15" s="19">
        <f>IF(szeg!L8&lt;&gt;"",szeg!L8,"")</f>
        <v>794</v>
      </c>
      <c r="N15" s="19">
        <f>IF(szeg!M8&lt;&gt;"",szeg!M8,"")</f>
        <v>2825</v>
      </c>
      <c r="O15" s="19">
        <f>IF(szeg!N8&lt;&gt;"",szeg!N8,"")</f>
        <v>127</v>
      </c>
      <c r="P15" s="19">
        <f>IF(szeg!O8&lt;&gt;"",szeg!O8,"")</f>
        <v>29</v>
      </c>
      <c r="Q15" s="19">
        <f>IF(szeg!P8&lt;&gt;"",szeg!P8,"")</f>
        <v>3</v>
      </c>
      <c r="R15" s="19"/>
      <c r="S15" s="19">
        <f>IF(szeg!Q8&lt;&gt;"",szeg!Q8,"")</f>
        <v>6</v>
      </c>
      <c r="T15" s="19">
        <f>IF(szeg!R8&lt;&gt;"",szeg!R8,"")</f>
        <v>43187</v>
      </c>
      <c r="U15" s="19"/>
      <c r="V15" s="19">
        <f>IF(szeg!S8&lt;&gt;"",szeg!S8,"")</f>
        <v>10</v>
      </c>
      <c r="W15" s="19">
        <f>IF(szeg!T8&lt;&gt;"",szeg!T8,"")</f>
        <v>28</v>
      </c>
      <c r="X15" s="19">
        <f>IF(szeg!U8&lt;&gt;"",szeg!U8,"")</f>
        <v>43</v>
      </c>
      <c r="Y15" s="19"/>
      <c r="Z15" s="19">
        <f>IF(szeg!V8&lt;&gt;"",szeg!V8,"")</f>
        <v>6204</v>
      </c>
      <c r="AA15" s="19">
        <f>IF(szeg!W8&lt;&gt;"",szeg!W8,"")</f>
        <v>9453</v>
      </c>
      <c r="AB15" s="19">
        <f>IF(szeg!X8&lt;&gt;"",szeg!X8,"")</f>
        <v>978</v>
      </c>
      <c r="AC15" s="19">
        <f>IF(szeg!Y8&lt;&gt;"",szeg!Y8,"")</f>
        <v>21</v>
      </c>
      <c r="AD15" s="19">
        <f>IF(szeg!Z8&lt;&gt;"",szeg!Z8,"")</f>
        <v>6</v>
      </c>
      <c r="AE15" s="19">
        <f>IF(szeg!AA8&lt;&gt;"",szeg!AA8,"")</f>
        <v>439</v>
      </c>
      <c r="AF15" s="19">
        <f>IF(szeg!AB8&lt;&gt;"",szeg!AB8,"")</f>
        <v>101</v>
      </c>
      <c r="AG15" s="12">
        <f t="shared" si="0"/>
        <v>82501</v>
      </c>
    </row>
    <row r="16" spans="1:33" ht="18.75" customHeight="1" x14ac:dyDescent="0.2">
      <c r="A16" s="692" t="s">
        <v>266</v>
      </c>
      <c r="B16" s="286" t="s">
        <v>301</v>
      </c>
      <c r="C16" s="694">
        <v>815</v>
      </c>
      <c r="D16" s="19" t="str">
        <f>IF(vis!C9&lt;&gt;"",vis!C9,"")</f>
        <v/>
      </c>
      <c r="E16" s="19" t="str">
        <f>IF(vis!D9&lt;&gt;"",vis!D9,"")</f>
        <v/>
      </c>
      <c r="F16" s="19" t="str">
        <f>IF(vis!E9&lt;&gt;"",vis!E9,"")</f>
        <v/>
      </c>
      <c r="G16" s="19" t="str">
        <f>IF(vis!F9&lt;&gt;"",vis!F9,"")</f>
        <v/>
      </c>
      <c r="H16" s="19"/>
      <c r="I16" s="19"/>
      <c r="J16" s="19" t="str">
        <f>IF(vis!G9&lt;&gt;"",vis!G9,"")</f>
        <v/>
      </c>
      <c r="K16" s="19"/>
      <c r="L16" s="19" t="str">
        <f>IF(vis!H9&lt;&gt;"",vis!H9,"")</f>
        <v/>
      </c>
      <c r="M16" s="19" t="str">
        <f>IF(vis!I9&lt;&gt;"",vis!I9,"")</f>
        <v/>
      </c>
      <c r="N16" s="19"/>
      <c r="O16" s="19" t="str">
        <f>IF(vis!J9&lt;&gt;"",vis!J9,"")</f>
        <v/>
      </c>
      <c r="P16" s="19"/>
      <c r="Q16" s="19"/>
      <c r="R16" s="19" t="str">
        <f>IF(vis!K9&lt;&gt;"",vis!K9,"")</f>
        <v/>
      </c>
      <c r="S16" s="19"/>
      <c r="T16" s="19"/>
      <c r="U16" s="19">
        <f>IF(vis!L9&lt;&gt;"",vis!L9,"")</f>
        <v>6</v>
      </c>
      <c r="V16" s="19" t="str">
        <f>IF(vis!M9&lt;&gt;"",vis!M9,"")</f>
        <v/>
      </c>
      <c r="W16" s="19"/>
      <c r="X16" s="19"/>
      <c r="Y16" s="19">
        <f>IF(vis!N9&lt;&gt;"",vis!N9,"")</f>
        <v>1</v>
      </c>
      <c r="Z16" s="19"/>
      <c r="AA16" s="19"/>
      <c r="AB16" s="19"/>
      <c r="AC16" s="19"/>
      <c r="AD16" s="19"/>
      <c r="AE16" s="19"/>
      <c r="AF16" s="19"/>
      <c r="AG16" s="12">
        <f t="shared" si="0"/>
        <v>7</v>
      </c>
    </row>
    <row r="17" spans="1:33" ht="18.75" customHeight="1" x14ac:dyDescent="0.2">
      <c r="A17" s="693"/>
      <c r="B17" s="286" t="s">
        <v>302</v>
      </c>
      <c r="C17" s="695"/>
      <c r="D17" s="19">
        <f>IF(szeg!C9&lt;&gt;"",szeg!C9,"")</f>
        <v>1</v>
      </c>
      <c r="E17" s="19" t="str">
        <f>IF(szeg!D9&lt;&gt;"",szeg!D9,"")</f>
        <v/>
      </c>
      <c r="F17" s="19" t="str">
        <f>IF(szeg!E9&lt;&gt;"",szeg!E9,"")</f>
        <v/>
      </c>
      <c r="G17" s="19" t="str">
        <f>IF(szeg!F9&lt;&gt;"",szeg!F9,"")</f>
        <v/>
      </c>
      <c r="H17" s="19" t="str">
        <f>IF(szeg!G9&lt;&gt;"",szeg!G9,"")</f>
        <v/>
      </c>
      <c r="I17" s="19" t="str">
        <f>IF(szeg!H9&lt;&gt;"",szeg!H9,"")</f>
        <v/>
      </c>
      <c r="J17" s="19" t="str">
        <f>IF(szeg!I9&lt;&gt;"",szeg!I9,"")</f>
        <v/>
      </c>
      <c r="K17" s="19" t="str">
        <f>IF(szeg!J9&lt;&gt;"",szeg!J9,"")</f>
        <v/>
      </c>
      <c r="L17" s="19" t="str">
        <f>IF(szeg!K9&lt;&gt;"",szeg!K9,"")</f>
        <v/>
      </c>
      <c r="M17" s="19" t="str">
        <f>IF(szeg!L9&lt;&gt;"",szeg!L9,"")</f>
        <v/>
      </c>
      <c r="N17" s="19">
        <f>IF(szeg!M9&lt;&gt;"",szeg!M9,"")</f>
        <v>1</v>
      </c>
      <c r="O17" s="19" t="str">
        <f>IF(szeg!N9&lt;&gt;"",szeg!N9,"")</f>
        <v/>
      </c>
      <c r="P17" s="19" t="str">
        <f>IF(szeg!O9&lt;&gt;"",szeg!O9,"")</f>
        <v/>
      </c>
      <c r="Q17" s="19" t="str">
        <f>IF(szeg!P9&lt;&gt;"",szeg!P9,"")</f>
        <v/>
      </c>
      <c r="R17" s="19"/>
      <c r="S17" s="19" t="str">
        <f>IF(szeg!Q9&lt;&gt;"",szeg!Q9,"")</f>
        <v/>
      </c>
      <c r="T17" s="19">
        <f>IF(szeg!R9&lt;&gt;"",szeg!R9,"")</f>
        <v>4</v>
      </c>
      <c r="U17" s="19"/>
      <c r="V17" s="19" t="str">
        <f>IF(szeg!S9&lt;&gt;"",szeg!S9,"")</f>
        <v/>
      </c>
      <c r="W17" s="19" t="str">
        <f>IF(szeg!T9&lt;&gt;"",szeg!T9,"")</f>
        <v/>
      </c>
      <c r="X17" s="19" t="str">
        <f>IF(szeg!U9&lt;&gt;"",szeg!U9,"")</f>
        <v/>
      </c>
      <c r="Y17" s="19"/>
      <c r="Z17" s="19" t="str">
        <f>IF(szeg!V9&lt;&gt;"",szeg!V9,"")</f>
        <v/>
      </c>
      <c r="AA17" s="19">
        <f>IF(szeg!W9&lt;&gt;"",szeg!W9,"")</f>
        <v>7</v>
      </c>
      <c r="AB17" s="19" t="str">
        <f>IF(szeg!X9&lt;&gt;"",szeg!X9,"")</f>
        <v/>
      </c>
      <c r="AC17" s="19" t="str">
        <f>IF(szeg!Y9&lt;&gt;"",szeg!Y9,"")</f>
        <v/>
      </c>
      <c r="AD17" s="19" t="str">
        <f>IF(szeg!Z9&lt;&gt;"",szeg!Z9,"")</f>
        <v/>
      </c>
      <c r="AE17" s="19" t="str">
        <f>IF(szeg!AA9&lt;&gt;"",szeg!AA9,"")</f>
        <v/>
      </c>
      <c r="AF17" s="19" t="str">
        <f>IF(szeg!AB9&lt;&gt;"",szeg!AB9,"")</f>
        <v/>
      </c>
      <c r="AG17" s="12">
        <f t="shared" si="0"/>
        <v>13</v>
      </c>
    </row>
    <row r="18" spans="1:33" ht="18.75" customHeight="1" x14ac:dyDescent="0.2">
      <c r="A18" s="692" t="s">
        <v>267</v>
      </c>
      <c r="B18" s="286" t="s">
        <v>301</v>
      </c>
      <c r="C18" s="694" t="s">
        <v>268</v>
      </c>
      <c r="D18" s="19" t="str">
        <f>IF(vis!C10&lt;&gt;"",vis!C10,"")</f>
        <v/>
      </c>
      <c r="E18" s="19" t="str">
        <f>IF(vis!D10&lt;&gt;"",vis!D10,"")</f>
        <v/>
      </c>
      <c r="F18" s="19" t="str">
        <f>IF(vis!E10&lt;&gt;"",vis!E10,"")</f>
        <v/>
      </c>
      <c r="G18" s="19" t="str">
        <f>IF(vis!F10&lt;&gt;"",vis!F10,"")</f>
        <v/>
      </c>
      <c r="H18" s="19"/>
      <c r="I18" s="19"/>
      <c r="J18" s="19" t="str">
        <f>IF(vis!G10&lt;&gt;"",vis!G10,"")</f>
        <v/>
      </c>
      <c r="K18" s="19"/>
      <c r="L18" s="19" t="str">
        <f>IF(vis!H10&lt;&gt;"",vis!H10,"")</f>
        <v/>
      </c>
      <c r="M18" s="19" t="str">
        <f>IF(vis!I10&lt;&gt;"",vis!I10,"")</f>
        <v/>
      </c>
      <c r="N18" s="19"/>
      <c r="O18" s="19" t="str">
        <f>IF(vis!J10&lt;&gt;"",vis!J10,"")</f>
        <v/>
      </c>
      <c r="P18" s="19"/>
      <c r="Q18" s="19"/>
      <c r="R18" s="19" t="str">
        <f>IF(vis!K10&lt;&gt;"",vis!K10,"")</f>
        <v/>
      </c>
      <c r="S18" s="19"/>
      <c r="T18" s="19"/>
      <c r="U18" s="19" t="str">
        <f>IF(vis!L10&lt;&gt;"",vis!L10,"")</f>
        <v/>
      </c>
      <c r="V18" s="19" t="str">
        <f>IF(vis!M10&lt;&gt;"",vis!M10,"")</f>
        <v/>
      </c>
      <c r="W18" s="19"/>
      <c r="X18" s="19"/>
      <c r="Y18" s="19" t="str">
        <f>IF(vis!N10&lt;&gt;"",vis!N10,"")</f>
        <v/>
      </c>
      <c r="Z18" s="19"/>
      <c r="AA18" s="19"/>
      <c r="AB18" s="19"/>
      <c r="AC18" s="19"/>
      <c r="AD18" s="19"/>
      <c r="AE18" s="19"/>
      <c r="AF18" s="19"/>
      <c r="AG18" s="12">
        <f t="shared" si="0"/>
        <v>0</v>
      </c>
    </row>
    <row r="19" spans="1:33" ht="18.75" customHeight="1" x14ac:dyDescent="0.2">
      <c r="A19" s="693"/>
      <c r="B19" s="286" t="s">
        <v>302</v>
      </c>
      <c r="C19" s="695"/>
      <c r="D19" s="19" t="str">
        <f>IF(szeg!C10&lt;&gt;"",szeg!C10,"")</f>
        <v/>
      </c>
      <c r="E19" s="19" t="str">
        <f>IF(szeg!D10&lt;&gt;"",szeg!D10,"")</f>
        <v/>
      </c>
      <c r="F19" s="19" t="str">
        <f>IF(szeg!E10&lt;&gt;"",szeg!E10,"")</f>
        <v/>
      </c>
      <c r="G19" s="19" t="str">
        <f>IF(szeg!F10&lt;&gt;"",szeg!F10,"")</f>
        <v/>
      </c>
      <c r="H19" s="19" t="str">
        <f>IF(szeg!G10&lt;&gt;"",szeg!G10,"")</f>
        <v/>
      </c>
      <c r="I19" s="19" t="str">
        <f>IF(szeg!H10&lt;&gt;"",szeg!H10,"")</f>
        <v/>
      </c>
      <c r="J19" s="19" t="str">
        <f>IF(szeg!I10&lt;&gt;"",szeg!I10,"")</f>
        <v/>
      </c>
      <c r="K19" s="19" t="str">
        <f>IF(szeg!J10&lt;&gt;"",szeg!J10,"")</f>
        <v/>
      </c>
      <c r="L19" s="19" t="str">
        <f>IF(szeg!K10&lt;&gt;"",szeg!K10,"")</f>
        <v/>
      </c>
      <c r="M19" s="19" t="str">
        <f>IF(szeg!L10&lt;&gt;"",szeg!L10,"")</f>
        <v/>
      </c>
      <c r="N19" s="19" t="str">
        <f>IF(szeg!M10&lt;&gt;"",szeg!M10,"")</f>
        <v/>
      </c>
      <c r="O19" s="19" t="str">
        <f>IF(szeg!N10&lt;&gt;"",szeg!N10,"")</f>
        <v/>
      </c>
      <c r="P19" s="19" t="str">
        <f>IF(szeg!O10&lt;&gt;"",szeg!O10,"")</f>
        <v/>
      </c>
      <c r="Q19" s="19" t="str">
        <f>IF(szeg!P10&lt;&gt;"",szeg!P10,"")</f>
        <v/>
      </c>
      <c r="R19" s="19"/>
      <c r="S19" s="19" t="str">
        <f>IF(szeg!Q10&lt;&gt;"",szeg!Q10,"")</f>
        <v/>
      </c>
      <c r="T19" s="19" t="str">
        <f>IF(szeg!R10&lt;&gt;"",szeg!R10,"")</f>
        <v/>
      </c>
      <c r="U19" s="19"/>
      <c r="V19" s="19" t="str">
        <f>IF(szeg!S10&lt;&gt;"",szeg!S10,"")</f>
        <v/>
      </c>
      <c r="W19" s="19" t="str">
        <f>IF(szeg!T10&lt;&gt;"",szeg!T10,"")</f>
        <v/>
      </c>
      <c r="X19" s="19" t="str">
        <f>IF(szeg!U10&lt;&gt;"",szeg!U10,"")</f>
        <v/>
      </c>
      <c r="Y19" s="19"/>
      <c r="Z19" s="19" t="str">
        <f>IF(szeg!V10&lt;&gt;"",szeg!V10,"")</f>
        <v/>
      </c>
      <c r="AA19" s="19" t="str">
        <f>IF(szeg!W10&lt;&gt;"",szeg!W10,"")</f>
        <v/>
      </c>
      <c r="AB19" s="19" t="str">
        <f>IF(szeg!X10&lt;&gt;"",szeg!X10,"")</f>
        <v/>
      </c>
      <c r="AC19" s="19" t="str">
        <f>IF(szeg!Y10&lt;&gt;"",szeg!Y10,"")</f>
        <v/>
      </c>
      <c r="AD19" s="19" t="str">
        <f>IF(szeg!Z10&lt;&gt;"",szeg!Z10,"")</f>
        <v/>
      </c>
      <c r="AE19" s="19" t="str">
        <f>IF(szeg!AA10&lt;&gt;"",szeg!AA10,"")</f>
        <v/>
      </c>
      <c r="AF19" s="19" t="str">
        <f>IF(szeg!AB10&lt;&gt;"",szeg!AB10,"")</f>
        <v/>
      </c>
      <c r="AG19" s="12">
        <f t="shared" si="0"/>
        <v>0</v>
      </c>
    </row>
    <row r="20" spans="1:33" s="26" customFormat="1" ht="18.75" customHeight="1" x14ac:dyDescent="0.2">
      <c r="A20" s="696" t="s">
        <v>269</v>
      </c>
      <c r="B20" s="286" t="s">
        <v>301</v>
      </c>
      <c r="C20" s="699"/>
      <c r="D20" s="11">
        <f>SUM(D2,D4,D6,D8,D10,D12,D14,D16,D18)</f>
        <v>24264</v>
      </c>
      <c r="E20" s="11">
        <f t="shared" ref="E20:AD20" si="1">SUM(E2,E4,E6,E8,E10,E12,E14,E16,E18)</f>
        <v>26412</v>
      </c>
      <c r="F20" s="11">
        <f t="shared" si="1"/>
        <v>34152</v>
      </c>
      <c r="G20" s="11">
        <f t="shared" si="1"/>
        <v>26269</v>
      </c>
      <c r="H20" s="11">
        <f t="shared" si="1"/>
        <v>0</v>
      </c>
      <c r="I20" s="11">
        <f t="shared" si="1"/>
        <v>0</v>
      </c>
      <c r="J20" s="11">
        <f t="shared" si="1"/>
        <v>36357</v>
      </c>
      <c r="K20" s="11">
        <f t="shared" si="1"/>
        <v>0</v>
      </c>
      <c r="L20" s="11">
        <f t="shared" si="1"/>
        <v>24382</v>
      </c>
      <c r="M20" s="11">
        <f t="shared" si="1"/>
        <v>20575</v>
      </c>
      <c r="N20" s="11">
        <f t="shared" si="1"/>
        <v>0</v>
      </c>
      <c r="O20" s="11">
        <f t="shared" si="1"/>
        <v>29707</v>
      </c>
      <c r="P20" s="11">
        <f t="shared" si="1"/>
        <v>0</v>
      </c>
      <c r="Q20" s="11">
        <f t="shared" si="1"/>
        <v>0</v>
      </c>
      <c r="R20" s="11">
        <f t="shared" si="1"/>
        <v>417</v>
      </c>
      <c r="S20" s="11">
        <f t="shared" si="1"/>
        <v>0</v>
      </c>
      <c r="T20" s="11">
        <f t="shared" si="1"/>
        <v>0</v>
      </c>
      <c r="U20" s="11">
        <f t="shared" si="1"/>
        <v>11373</v>
      </c>
      <c r="V20" s="11">
        <f t="shared" si="1"/>
        <v>6868</v>
      </c>
      <c r="W20" s="11">
        <f t="shared" si="1"/>
        <v>0</v>
      </c>
      <c r="X20" s="11">
        <f t="shared" si="1"/>
        <v>0</v>
      </c>
      <c r="Y20" s="11">
        <f t="shared" si="1"/>
        <v>25879</v>
      </c>
      <c r="Z20" s="11">
        <f t="shared" si="1"/>
        <v>0</v>
      </c>
      <c r="AA20" s="11">
        <f t="shared" si="1"/>
        <v>0</v>
      </c>
      <c r="AB20" s="11">
        <f t="shared" si="1"/>
        <v>0</v>
      </c>
      <c r="AC20" s="11">
        <f t="shared" si="1"/>
        <v>0</v>
      </c>
      <c r="AD20" s="11">
        <f t="shared" si="1"/>
        <v>0</v>
      </c>
      <c r="AE20" s="11">
        <f>SUM(AE2,AE4,AE6,AE8,AE10,AE12,AE14,AE16,AE18)</f>
        <v>0</v>
      </c>
      <c r="AF20" s="11">
        <f>SUM(AF2,AF4,AF6,AF8,AF10,AF12,AF14,AF16,AF18)</f>
        <v>0</v>
      </c>
      <c r="AG20" s="12">
        <f>SUM(AG2,AG4,AG6,AG8,AG10,AG12,AG14,AG16,AG18,)</f>
        <v>266655</v>
      </c>
    </row>
    <row r="21" spans="1:33" s="26" customFormat="1" ht="18.75" customHeight="1" x14ac:dyDescent="0.2">
      <c r="A21" s="698"/>
      <c r="B21" s="286" t="s">
        <v>302</v>
      </c>
      <c r="C21" s="701"/>
      <c r="D21" s="11">
        <f>SUM(D3,D5,D7,D9,D11,D13,D15,D17,D19,)</f>
        <v>26062</v>
      </c>
      <c r="E21" s="11">
        <f t="shared" ref="E21:AD21" si="2">SUM(E3,E5,E7,E9,E11,E13,E15,E17,E19,)</f>
        <v>27277</v>
      </c>
      <c r="F21" s="11">
        <f t="shared" si="2"/>
        <v>34904</v>
      </c>
      <c r="G21" s="11">
        <f t="shared" si="2"/>
        <v>29329</v>
      </c>
      <c r="H21" s="11">
        <f t="shared" si="2"/>
        <v>75842</v>
      </c>
      <c r="I21" s="11">
        <f t="shared" si="2"/>
        <v>33275</v>
      </c>
      <c r="J21" s="11">
        <f t="shared" si="2"/>
        <v>40481</v>
      </c>
      <c r="K21" s="11">
        <f t="shared" si="2"/>
        <v>50086</v>
      </c>
      <c r="L21" s="11">
        <f t="shared" si="2"/>
        <v>20809</v>
      </c>
      <c r="M21" s="11">
        <f t="shared" si="2"/>
        <v>24055</v>
      </c>
      <c r="N21" s="11">
        <f t="shared" si="2"/>
        <v>231336</v>
      </c>
      <c r="O21" s="11">
        <f t="shared" si="2"/>
        <v>29144</v>
      </c>
      <c r="P21" s="11">
        <f t="shared" si="2"/>
        <v>121</v>
      </c>
      <c r="Q21" s="11">
        <f t="shared" si="2"/>
        <v>3843</v>
      </c>
      <c r="R21" s="11">
        <f t="shared" si="2"/>
        <v>0</v>
      </c>
      <c r="S21" s="11">
        <f t="shared" si="2"/>
        <v>6775</v>
      </c>
      <c r="T21" s="11">
        <f t="shared" si="2"/>
        <v>135199</v>
      </c>
      <c r="U21" s="11">
        <f t="shared" si="2"/>
        <v>0</v>
      </c>
      <c r="V21" s="11">
        <f t="shared" si="2"/>
        <v>6541</v>
      </c>
      <c r="W21" s="11">
        <f t="shared" si="2"/>
        <v>17256</v>
      </c>
      <c r="X21" s="11">
        <f t="shared" si="2"/>
        <v>21912</v>
      </c>
      <c r="Y21" s="11">
        <f t="shared" si="2"/>
        <v>0</v>
      </c>
      <c r="Z21" s="11">
        <f t="shared" si="2"/>
        <v>28235</v>
      </c>
      <c r="AA21" s="11">
        <f t="shared" si="2"/>
        <v>118662</v>
      </c>
      <c r="AB21" s="11">
        <f t="shared" si="2"/>
        <v>7350</v>
      </c>
      <c r="AC21" s="11">
        <f t="shared" si="2"/>
        <v>893</v>
      </c>
      <c r="AD21" s="11">
        <f t="shared" si="2"/>
        <v>7930</v>
      </c>
      <c r="AE21" s="11">
        <f>SUM(AE3,AE5,AE7,AE9,AE11,AE13,AE15,AE17,AE19,)</f>
        <v>439</v>
      </c>
      <c r="AF21" s="11">
        <f>SUM(AF3,AF5,AF7,AF9,AF11,AF13,AF15,AF17,AF19,)</f>
        <v>9213</v>
      </c>
      <c r="AG21" s="12">
        <f>SUM(AG3,AG5,AG7,AG9,AG11,AG13,AG15,AG17,AG19)</f>
        <v>986969</v>
      </c>
    </row>
    <row r="22" spans="1:33" ht="18.75" customHeight="1" x14ac:dyDescent="0.2">
      <c r="A22" s="692" t="s">
        <v>270</v>
      </c>
      <c r="B22" s="286" t="s">
        <v>301</v>
      </c>
      <c r="C22" s="694">
        <v>51</v>
      </c>
      <c r="D22" s="19">
        <f>IF(vis!C12&lt;&gt;"",vis!C12,"")</f>
        <v>115</v>
      </c>
      <c r="E22" s="19">
        <f>IF(vis!D12&lt;&gt;"",vis!D12,"")</f>
        <v>125</v>
      </c>
      <c r="F22" s="19">
        <f>IF(vis!E12&lt;&gt;"",vis!E12,"")</f>
        <v>162</v>
      </c>
      <c r="G22" s="19">
        <f>IF(vis!F12&lt;&gt;"",vis!F12,"")</f>
        <v>124</v>
      </c>
      <c r="H22" s="19"/>
      <c r="I22" s="19"/>
      <c r="J22" s="19">
        <f>IF(vis!G12&lt;&gt;"",vis!G12,"")</f>
        <v>172</v>
      </c>
      <c r="K22" s="19"/>
      <c r="L22" s="19">
        <f>IF(vis!H12&lt;&gt;"",vis!H12,"")</f>
        <v>116</v>
      </c>
      <c r="M22" s="19">
        <f>IF(vis!I12&lt;&gt;"",vis!I12,"")</f>
        <v>97</v>
      </c>
      <c r="N22" s="19"/>
      <c r="O22" s="19">
        <f>IF(vis!J12&lt;&gt;"",vis!J12,"")</f>
        <v>141</v>
      </c>
      <c r="P22" s="19"/>
      <c r="Q22" s="19"/>
      <c r="R22" s="19" t="str">
        <f>IF(vis!K12&lt;&gt;"",vis!K12,"")</f>
        <v/>
      </c>
      <c r="S22" s="19"/>
      <c r="T22" s="19"/>
      <c r="U22" s="19">
        <f>IF(vis!L12&lt;&gt;"",vis!L12,"")</f>
        <v>54</v>
      </c>
      <c r="V22" s="19">
        <f>IF(vis!M12&lt;&gt;"",vis!M12,"")</f>
        <v>32</v>
      </c>
      <c r="W22" s="19"/>
      <c r="X22" s="19"/>
      <c r="Y22" s="19">
        <f>IF(vis!N12&lt;&gt;"",vis!N12,"")</f>
        <v>123</v>
      </c>
      <c r="Z22" s="19"/>
      <c r="AA22" s="19"/>
      <c r="AB22" s="19"/>
      <c r="AC22" s="19"/>
      <c r="AD22" s="19"/>
      <c r="AE22" s="19"/>
      <c r="AF22" s="19"/>
      <c r="AG22" s="12">
        <f t="shared" ref="AG22:AG39" si="3">SUM(D22:AF22)</f>
        <v>1261</v>
      </c>
    </row>
    <row r="23" spans="1:33" ht="18.75" customHeight="1" x14ac:dyDescent="0.2">
      <c r="A23" s="693"/>
      <c r="B23" s="286" t="s">
        <v>302</v>
      </c>
      <c r="C23" s="695"/>
      <c r="D23" s="19">
        <f>IF(szeg!C12&lt;&gt;"",szeg!C12,"")</f>
        <v>123</v>
      </c>
      <c r="E23" s="19">
        <f>IF(szeg!D12&lt;&gt;"",szeg!D12,"")</f>
        <v>129</v>
      </c>
      <c r="F23" s="19">
        <f>IF(szeg!E12&lt;&gt;"",szeg!E12,"")</f>
        <v>165</v>
      </c>
      <c r="G23" s="19">
        <f>IF(szeg!F12&lt;&gt;"",szeg!F12,"")</f>
        <v>139</v>
      </c>
      <c r="H23" s="19">
        <f>IF(szeg!G12&lt;&gt;"",szeg!G12,"")</f>
        <v>359</v>
      </c>
      <c r="I23" s="19">
        <f>IF(szeg!H12&lt;&gt;"",szeg!H12,"")</f>
        <v>157</v>
      </c>
      <c r="J23" s="19">
        <f>IF(szeg!I12&lt;&gt;"",szeg!I12,"")</f>
        <v>192</v>
      </c>
      <c r="K23" s="19">
        <f>IF(szeg!J12&lt;&gt;"",szeg!J12,"")</f>
        <v>237</v>
      </c>
      <c r="L23" s="19">
        <f>IF(szeg!K12&lt;&gt;"",szeg!K12,"")</f>
        <v>99</v>
      </c>
      <c r="M23" s="19">
        <f>IF(szeg!L12&lt;&gt;"",szeg!L12,"")</f>
        <v>114</v>
      </c>
      <c r="N23" s="19">
        <f>IF(szeg!M12&lt;&gt;"",szeg!M12,"")</f>
        <v>1096</v>
      </c>
      <c r="O23" s="19">
        <f>IF(szeg!N12&lt;&gt;"",szeg!N12,"")</f>
        <v>138</v>
      </c>
      <c r="P23" s="19" t="str">
        <f>IF(szeg!O12&lt;&gt;"",szeg!O12,"")</f>
        <v/>
      </c>
      <c r="Q23" s="19">
        <f>IF(szeg!P12&lt;&gt;"",szeg!P12,"")</f>
        <v>18</v>
      </c>
      <c r="R23" s="19"/>
      <c r="S23" s="19">
        <f>IF(szeg!Q12&lt;&gt;"",szeg!Q12,"")</f>
        <v>32</v>
      </c>
      <c r="T23" s="19">
        <f>IF(szeg!R12&lt;&gt;"",szeg!R12,"")</f>
        <v>641</v>
      </c>
      <c r="U23" s="19"/>
      <c r="V23" s="19">
        <f>IF(szeg!S12&lt;&gt;"",szeg!S12,"")</f>
        <v>31</v>
      </c>
      <c r="W23" s="19">
        <f>IF(szeg!T12&lt;&gt;"",szeg!T12,"")</f>
        <v>82</v>
      </c>
      <c r="X23" s="19">
        <f>IF(szeg!U12&lt;&gt;"",szeg!U12,"")</f>
        <v>104</v>
      </c>
      <c r="Y23" s="19"/>
      <c r="Z23" s="19">
        <f>IF(szeg!V12&lt;&gt;"",szeg!V12,"")</f>
        <v>134</v>
      </c>
      <c r="AA23" s="19">
        <f>IF(szeg!W12&lt;&gt;"",szeg!W12,"")</f>
        <v>562</v>
      </c>
      <c r="AB23" s="19">
        <f>IF(szeg!X12&lt;&gt;"",szeg!X12,"")</f>
        <v>35</v>
      </c>
      <c r="AC23" s="19">
        <f>IF(szeg!Y12&lt;&gt;"",szeg!Y12,"")</f>
        <v>4</v>
      </c>
      <c r="AD23" s="19">
        <f>IF(szeg!Z12&lt;&gt;"",szeg!Z12,"")</f>
        <v>38</v>
      </c>
      <c r="AE23" s="19" t="str">
        <f>IF(szeg!AA12&lt;&gt;"",szeg!AA12,"")</f>
        <v/>
      </c>
      <c r="AF23" s="19">
        <f>IF(szeg!AB12&lt;&gt;"",szeg!AB12,"")</f>
        <v>44</v>
      </c>
      <c r="AG23" s="12">
        <f t="shared" si="3"/>
        <v>4673</v>
      </c>
    </row>
    <row r="24" spans="1:33" ht="18.75" customHeight="1" x14ac:dyDescent="0.2">
      <c r="A24" s="692" t="s">
        <v>271</v>
      </c>
      <c r="B24" s="286" t="s">
        <v>301</v>
      </c>
      <c r="C24" s="694">
        <v>52</v>
      </c>
      <c r="D24" s="19">
        <f>IF(vis!C13&lt;&gt;"",vis!C13,"")</f>
        <v>453</v>
      </c>
      <c r="E24" s="19">
        <f>IF(vis!D13&lt;&gt;"",vis!D13,"")</f>
        <v>502</v>
      </c>
      <c r="F24" s="19">
        <f>IF(vis!E13&lt;&gt;"",vis!E13,"")</f>
        <v>638</v>
      </c>
      <c r="G24" s="19">
        <f>IF(vis!F13&lt;&gt;"",vis!F13,"")</f>
        <v>495</v>
      </c>
      <c r="H24" s="19"/>
      <c r="I24" s="19"/>
      <c r="J24" s="19">
        <f>IF(vis!G13&lt;&gt;"",vis!G13,"")</f>
        <v>687</v>
      </c>
      <c r="K24" s="19"/>
      <c r="L24" s="19">
        <f>IF(vis!H13&lt;&gt;"",vis!H13,"")</f>
        <v>465</v>
      </c>
      <c r="M24" s="19">
        <f>IF(vis!I13&lt;&gt;"",vis!I13,"")</f>
        <v>397</v>
      </c>
      <c r="N24" s="19"/>
      <c r="O24" s="19">
        <f>IF(vis!J13&lt;&gt;"",vis!J13,"")</f>
        <v>562</v>
      </c>
      <c r="P24" s="19"/>
      <c r="Q24" s="19"/>
      <c r="R24" s="19" t="str">
        <f>IF(vis!K13&lt;&gt;"",vis!K13,"")</f>
        <v/>
      </c>
      <c r="S24" s="19"/>
      <c r="T24" s="19"/>
      <c r="U24" s="19">
        <f>IF(vis!L13&lt;&gt;"",vis!L13,"")</f>
        <v>215</v>
      </c>
      <c r="V24" s="19">
        <f>IF(vis!M13&lt;&gt;"",vis!M13,"")</f>
        <v>130</v>
      </c>
      <c r="W24" s="19"/>
      <c r="X24" s="19"/>
      <c r="Y24" s="19">
        <f>IF(vis!N13&lt;&gt;"",vis!N13,"")</f>
        <v>489</v>
      </c>
      <c r="Z24" s="19"/>
      <c r="AA24" s="19"/>
      <c r="AB24" s="19"/>
      <c r="AC24" s="19"/>
      <c r="AD24" s="19"/>
      <c r="AE24" s="19"/>
      <c r="AF24" s="19"/>
      <c r="AG24" s="12">
        <f t="shared" si="3"/>
        <v>5033</v>
      </c>
    </row>
    <row r="25" spans="1:33" ht="18.75" customHeight="1" x14ac:dyDescent="0.2">
      <c r="A25" s="693"/>
      <c r="B25" s="286" t="s">
        <v>302</v>
      </c>
      <c r="C25" s="695"/>
      <c r="D25" s="19">
        <f>IF(szeg!C13&lt;&gt;"",szeg!C13,"")</f>
        <v>490</v>
      </c>
      <c r="E25" s="19">
        <f>IF(szeg!D13&lt;&gt;"",szeg!D13,"")</f>
        <v>509</v>
      </c>
      <c r="F25" s="19">
        <f>IF(szeg!E13&lt;&gt;"",szeg!E13,"")</f>
        <v>662</v>
      </c>
      <c r="G25" s="19">
        <f>IF(szeg!F13&lt;&gt;"",szeg!F13,"")</f>
        <v>551</v>
      </c>
      <c r="H25" s="19">
        <f>IF(szeg!G13&lt;&gt;"",szeg!G13,"")</f>
        <v>1437</v>
      </c>
      <c r="I25" s="19">
        <f>IF(szeg!H13&lt;&gt;"",szeg!H13,"")</f>
        <v>633</v>
      </c>
      <c r="J25" s="19">
        <f>IF(szeg!I13&lt;&gt;"",szeg!I13,"")</f>
        <v>766</v>
      </c>
      <c r="K25" s="19">
        <f>IF(szeg!J13&lt;&gt;"",szeg!J13,"")</f>
        <v>947</v>
      </c>
      <c r="L25" s="19">
        <f>IF(szeg!K13&lt;&gt;"",szeg!K13,"")</f>
        <v>396</v>
      </c>
      <c r="M25" s="19">
        <f>IF(szeg!L13&lt;&gt;"",szeg!L13,"")</f>
        <v>450</v>
      </c>
      <c r="N25" s="19">
        <f>IF(szeg!M13&lt;&gt;"",szeg!M13,"")</f>
        <v>4397</v>
      </c>
      <c r="O25" s="19">
        <f>IF(szeg!N13&lt;&gt;"",szeg!N13,"")</f>
        <v>551</v>
      </c>
      <c r="P25" s="19">
        <f>IF(szeg!O13&lt;&gt;"",szeg!O13,"")</f>
        <v>2</v>
      </c>
      <c r="Q25" s="19">
        <f>IF(szeg!P13&lt;&gt;"",szeg!P13,"")</f>
        <v>73</v>
      </c>
      <c r="R25" s="19"/>
      <c r="S25" s="19">
        <f>IF(szeg!Q13&lt;&gt;"",szeg!Q13,"")</f>
        <v>130</v>
      </c>
      <c r="T25" s="19">
        <f>IF(szeg!R13&lt;&gt;"",szeg!R13,"")</f>
        <v>2559</v>
      </c>
      <c r="U25" s="19"/>
      <c r="V25" s="19">
        <f>IF(szeg!S13&lt;&gt;"",szeg!S13,"")</f>
        <v>124</v>
      </c>
      <c r="W25" s="19">
        <f>IF(szeg!T13&lt;&gt;"",szeg!T13,"")</f>
        <v>326</v>
      </c>
      <c r="X25" s="19">
        <f>IF(szeg!U13&lt;&gt;"",szeg!U13,"")</f>
        <v>412</v>
      </c>
      <c r="Y25" s="19"/>
      <c r="Z25" s="19">
        <f>IF(szeg!V13&lt;&gt;"",szeg!V13,"")</f>
        <v>532</v>
      </c>
      <c r="AA25" s="19">
        <f>IF(szeg!W13&lt;&gt;"",szeg!W13,"")</f>
        <v>2252</v>
      </c>
      <c r="AB25" s="19">
        <f>IF(szeg!X13&lt;&gt;"",szeg!X13,"")</f>
        <v>140</v>
      </c>
      <c r="AC25" s="19">
        <f>IF(szeg!Y13&lt;&gt;"",szeg!Y13,"")</f>
        <v>17</v>
      </c>
      <c r="AD25" s="19">
        <f>IF(szeg!Z13&lt;&gt;"",szeg!Z13,"")</f>
        <v>151</v>
      </c>
      <c r="AE25" s="19" t="str">
        <f>IF(szeg!AA13&lt;&gt;"",szeg!AA13,"")</f>
        <v/>
      </c>
      <c r="AF25" s="19">
        <f>IF(szeg!AB13&lt;&gt;"",szeg!AB13,"")</f>
        <v>179</v>
      </c>
      <c r="AG25" s="12">
        <f t="shared" si="3"/>
        <v>18686</v>
      </c>
    </row>
    <row r="26" spans="1:33" ht="18.75" customHeight="1" x14ac:dyDescent="0.2">
      <c r="A26" s="692" t="s">
        <v>272</v>
      </c>
      <c r="B26" s="286" t="s">
        <v>301</v>
      </c>
      <c r="C26" s="694">
        <v>53</v>
      </c>
      <c r="D26" s="19">
        <f>IF(vis!C14&lt;&gt;"",vis!C14,"")</f>
        <v>110</v>
      </c>
      <c r="E26" s="19">
        <f>IF(vis!D14&lt;&gt;"",vis!D14,"")</f>
        <v>120</v>
      </c>
      <c r="F26" s="19">
        <f>IF(vis!E14&lt;&gt;"",vis!E14,"")</f>
        <v>156</v>
      </c>
      <c r="G26" s="19">
        <f>IF(vis!F14&lt;&gt;"",vis!F14,"")</f>
        <v>119</v>
      </c>
      <c r="H26" s="19"/>
      <c r="I26" s="19"/>
      <c r="J26" s="19">
        <f>IF(vis!G14&lt;&gt;"",vis!G14,"")</f>
        <v>166</v>
      </c>
      <c r="K26" s="19"/>
      <c r="L26" s="19">
        <f>IF(vis!H14&lt;&gt;"",vis!H14,"")</f>
        <v>111</v>
      </c>
      <c r="M26" s="19">
        <f>IF(vis!I14&lt;&gt;"",vis!I14,"")</f>
        <v>94</v>
      </c>
      <c r="N26" s="19"/>
      <c r="O26" s="19">
        <f>IF(vis!J14&lt;&gt;"",vis!J14,"")</f>
        <v>135</v>
      </c>
      <c r="P26" s="19"/>
      <c r="Q26" s="19"/>
      <c r="R26" s="19" t="str">
        <f>IF(vis!K14&lt;&gt;"",vis!K14,"")</f>
        <v/>
      </c>
      <c r="S26" s="19"/>
      <c r="T26" s="19"/>
      <c r="U26" s="19">
        <f>IF(vis!L14&lt;&gt;"",vis!L14,"")</f>
        <v>51</v>
      </c>
      <c r="V26" s="19">
        <f>IF(vis!M14&lt;&gt;"",vis!M14,"")</f>
        <v>32</v>
      </c>
      <c r="W26" s="19"/>
      <c r="X26" s="19"/>
      <c r="Y26" s="19">
        <f>IF(vis!N14&lt;&gt;"",vis!N14,"")</f>
        <v>117</v>
      </c>
      <c r="Z26" s="19"/>
      <c r="AA26" s="19"/>
      <c r="AB26" s="19"/>
      <c r="AC26" s="19"/>
      <c r="AD26" s="19"/>
      <c r="AE26" s="19"/>
      <c r="AF26" s="19"/>
      <c r="AG26" s="12">
        <f t="shared" si="3"/>
        <v>1211</v>
      </c>
    </row>
    <row r="27" spans="1:33" ht="18.75" customHeight="1" x14ac:dyDescent="0.2">
      <c r="A27" s="693"/>
      <c r="B27" s="286" t="s">
        <v>302</v>
      </c>
      <c r="C27" s="695"/>
      <c r="D27" s="19">
        <f>IF(szeg!C14&lt;&gt;"",szeg!C14,"")</f>
        <v>118</v>
      </c>
      <c r="E27" s="19">
        <f>IF(szeg!D14&lt;&gt;"",szeg!D14,"")</f>
        <v>124</v>
      </c>
      <c r="F27" s="19">
        <f>IF(szeg!E14&lt;&gt;"",szeg!E14,"")</f>
        <v>159</v>
      </c>
      <c r="G27" s="19">
        <f>IF(szeg!F14&lt;&gt;"",szeg!F14,"")</f>
        <v>134</v>
      </c>
      <c r="H27" s="19">
        <f>IF(szeg!G14&lt;&gt;"",szeg!G14,"")</f>
        <v>345</v>
      </c>
      <c r="I27" s="19">
        <f>IF(szeg!H14&lt;&gt;"",szeg!H14,"")</f>
        <v>151</v>
      </c>
      <c r="J27" s="19">
        <f>IF(szeg!I14&lt;&gt;"",szeg!I14,"")</f>
        <v>184</v>
      </c>
      <c r="K27" s="19">
        <f>IF(szeg!J14&lt;&gt;"",szeg!J14,"")</f>
        <v>228</v>
      </c>
      <c r="L27" s="19">
        <f>IF(szeg!K14&lt;&gt;"",szeg!K14,"")</f>
        <v>95</v>
      </c>
      <c r="M27" s="19">
        <f>IF(szeg!L14&lt;&gt;"",szeg!L14,"")</f>
        <v>109</v>
      </c>
      <c r="N27" s="19">
        <f>IF(szeg!M14&lt;&gt;"",szeg!M14,"")</f>
        <v>1051</v>
      </c>
      <c r="O27" s="19">
        <f>IF(szeg!N14&lt;&gt;"",szeg!N14,"")</f>
        <v>132</v>
      </c>
      <c r="P27" s="19" t="str">
        <f>IF(szeg!O14&lt;&gt;"",szeg!O14,"")</f>
        <v/>
      </c>
      <c r="Q27" s="19">
        <f>IF(szeg!P14&lt;&gt;"",szeg!P14,"")</f>
        <v>18</v>
      </c>
      <c r="R27" s="19"/>
      <c r="S27" s="19">
        <f>IF(szeg!Q14&lt;&gt;"",szeg!Q14,"")</f>
        <v>31</v>
      </c>
      <c r="T27" s="19">
        <f>IF(szeg!R14&lt;&gt;"",szeg!R14,"")</f>
        <v>615</v>
      </c>
      <c r="U27" s="19"/>
      <c r="V27" s="19">
        <f>IF(szeg!S14&lt;&gt;"",szeg!S14,"")</f>
        <v>30</v>
      </c>
      <c r="W27" s="19">
        <f>IF(szeg!T14&lt;&gt;"",szeg!T14,"")</f>
        <v>79</v>
      </c>
      <c r="X27" s="19">
        <f>IF(szeg!U14&lt;&gt;"",szeg!U14,"")</f>
        <v>100</v>
      </c>
      <c r="Y27" s="19"/>
      <c r="Z27" s="19">
        <f>IF(szeg!V14&lt;&gt;"",szeg!V14,"")</f>
        <v>128</v>
      </c>
      <c r="AA27" s="19">
        <f>IF(szeg!W14&lt;&gt;"",szeg!W14,"")</f>
        <v>539</v>
      </c>
      <c r="AB27" s="19">
        <f>IF(szeg!X14&lt;&gt;"",szeg!X14,"")</f>
        <v>34</v>
      </c>
      <c r="AC27" s="19">
        <f>IF(szeg!Y14&lt;&gt;"",szeg!Y14,"")</f>
        <v>4</v>
      </c>
      <c r="AD27" s="19">
        <f>IF(szeg!Z14&lt;&gt;"",szeg!Z14,"")</f>
        <v>35</v>
      </c>
      <c r="AE27" s="19" t="str">
        <f>IF(szeg!AA14&lt;&gt;"",szeg!AA14,"")</f>
        <v/>
      </c>
      <c r="AF27" s="19">
        <f>IF(szeg!AB14&lt;&gt;"",szeg!AB14,"")</f>
        <v>42</v>
      </c>
      <c r="AG27" s="12">
        <f t="shared" si="3"/>
        <v>4485</v>
      </c>
    </row>
    <row r="28" spans="1:33" ht="18.75" customHeight="1" x14ac:dyDescent="0.2">
      <c r="A28" s="692" t="s">
        <v>273</v>
      </c>
      <c r="B28" s="286" t="s">
        <v>301</v>
      </c>
      <c r="C28" s="694">
        <v>54</v>
      </c>
      <c r="D28" s="19">
        <f>IF(vis!C15&lt;&gt;"",vis!C15,"")</f>
        <v>1718</v>
      </c>
      <c r="E28" s="19">
        <f>IF(vis!D15&lt;&gt;"",vis!D15,"")</f>
        <v>1879</v>
      </c>
      <c r="F28" s="19">
        <f>IF(vis!E15&lt;&gt;"",vis!E15,"")</f>
        <v>2417</v>
      </c>
      <c r="G28" s="19">
        <f>IF(vis!F15&lt;&gt;"",vis!F15,"")</f>
        <v>1864</v>
      </c>
      <c r="H28" s="19"/>
      <c r="I28" s="19"/>
      <c r="J28" s="19">
        <f>IF(vis!G15&lt;&gt;"",vis!G15,"")</f>
        <v>2582</v>
      </c>
      <c r="K28" s="19"/>
      <c r="L28" s="19">
        <f>IF(vis!H15&lt;&gt;"",vis!H15,"")</f>
        <v>1736</v>
      </c>
      <c r="M28" s="19">
        <f>IF(vis!I15&lt;&gt;"",vis!I15,"")</f>
        <v>1469</v>
      </c>
      <c r="N28" s="19"/>
      <c r="O28" s="19">
        <f>IF(vis!J15&lt;&gt;"",vis!J15,"")</f>
        <v>2110</v>
      </c>
      <c r="P28" s="19"/>
      <c r="Q28" s="19"/>
      <c r="R28" s="19" t="str">
        <f>IF(vis!K15&lt;&gt;"",vis!K15,"")</f>
        <v/>
      </c>
      <c r="S28" s="19"/>
      <c r="T28" s="19"/>
      <c r="U28" s="19">
        <f>IF(vis!L15&lt;&gt;"",vis!L15,"")</f>
        <v>808</v>
      </c>
      <c r="V28" s="19">
        <f>IF(vis!M15&lt;&gt;"",vis!M15,"")</f>
        <v>488</v>
      </c>
      <c r="W28" s="19"/>
      <c r="X28" s="19"/>
      <c r="Y28" s="19">
        <f>IF(vis!N15&lt;&gt;"",vis!N15,"")</f>
        <v>1837</v>
      </c>
      <c r="Z28" s="19"/>
      <c r="AA28" s="19"/>
      <c r="AB28" s="19"/>
      <c r="AC28" s="19"/>
      <c r="AD28" s="19"/>
      <c r="AE28" s="19"/>
      <c r="AF28" s="19"/>
      <c r="AG28" s="12">
        <f t="shared" si="3"/>
        <v>18908</v>
      </c>
    </row>
    <row r="29" spans="1:33" ht="18.75" customHeight="1" x14ac:dyDescent="0.2">
      <c r="A29" s="693"/>
      <c r="B29" s="286" t="s">
        <v>302</v>
      </c>
      <c r="C29" s="695"/>
      <c r="D29" s="19">
        <f>IF(szeg!C15&lt;&gt;"",szeg!C15,"")</f>
        <v>1849</v>
      </c>
      <c r="E29" s="19">
        <f>IF(szeg!D15&lt;&gt;"",szeg!D15,"")</f>
        <v>1930</v>
      </c>
      <c r="F29" s="19">
        <f>IF(szeg!E15&lt;&gt;"",szeg!E15,"")</f>
        <v>2481</v>
      </c>
      <c r="G29" s="19">
        <f>IF(szeg!F15&lt;&gt;"",szeg!F15,"")</f>
        <v>2079</v>
      </c>
      <c r="H29" s="19">
        <f>IF(szeg!G15&lt;&gt;"",szeg!G15,"")</f>
        <v>5390</v>
      </c>
      <c r="I29" s="19">
        <f>IF(szeg!H15&lt;&gt;"",szeg!H15,"")</f>
        <v>2367</v>
      </c>
      <c r="J29" s="19">
        <f>IF(szeg!I15&lt;&gt;"",szeg!I15,"")</f>
        <v>2876</v>
      </c>
      <c r="K29" s="19">
        <f>IF(szeg!J15&lt;&gt;"",szeg!J15,"")</f>
        <v>3557</v>
      </c>
      <c r="L29" s="19">
        <f>IF(szeg!K15&lt;&gt;"",szeg!K15,"")</f>
        <v>1480</v>
      </c>
      <c r="M29" s="19">
        <f>IF(szeg!L15&lt;&gt;"",szeg!L15,"")</f>
        <v>1703</v>
      </c>
      <c r="N29" s="19">
        <f>IF(szeg!M15&lt;&gt;"",szeg!M15,"")</f>
        <v>16456</v>
      </c>
      <c r="O29" s="19">
        <f>IF(szeg!N15&lt;&gt;"",szeg!N15,"")</f>
        <v>2069</v>
      </c>
      <c r="P29" s="19">
        <f>IF(szeg!O15&lt;&gt;"",szeg!O15,"")</f>
        <v>9</v>
      </c>
      <c r="Q29" s="19">
        <f>IF(szeg!P15&lt;&gt;"",szeg!P15,"")</f>
        <v>274</v>
      </c>
      <c r="R29" s="19"/>
      <c r="S29" s="19">
        <f>IF(szeg!Q15&lt;&gt;"",szeg!Q15,"")</f>
        <v>484</v>
      </c>
      <c r="T29" s="19">
        <f>IF(szeg!R15&lt;&gt;"",szeg!R15,"")</f>
        <v>9605</v>
      </c>
      <c r="U29" s="19"/>
      <c r="V29" s="19">
        <f>IF(szeg!S15&lt;&gt;"",szeg!S15,"")</f>
        <v>466</v>
      </c>
      <c r="W29" s="19">
        <f>IF(szeg!T15&lt;&gt;"",szeg!T15,"")</f>
        <v>1225</v>
      </c>
      <c r="X29" s="19">
        <f>IF(szeg!U15&lt;&gt;"",szeg!U15,"")</f>
        <v>1554</v>
      </c>
      <c r="Y29" s="19"/>
      <c r="Z29" s="19">
        <f>IF(szeg!V15&lt;&gt;"",szeg!V15,"")</f>
        <v>2003</v>
      </c>
      <c r="AA29" s="19">
        <f>IF(szeg!W15&lt;&gt;"",szeg!W15,"")</f>
        <v>8437</v>
      </c>
      <c r="AB29" s="19">
        <f>IF(szeg!X15&lt;&gt;"",szeg!X15,"")</f>
        <v>523</v>
      </c>
      <c r="AC29" s="19">
        <f>IF(szeg!Y15&lt;&gt;"",szeg!Y15,"")</f>
        <v>63</v>
      </c>
      <c r="AD29" s="19">
        <f>IF(szeg!Z15&lt;&gt;"",szeg!Z15,"")</f>
        <v>565</v>
      </c>
      <c r="AE29" s="19" t="str">
        <f>IF(szeg!AA15&lt;&gt;"",szeg!AA15,"")</f>
        <v/>
      </c>
      <c r="AF29" s="19">
        <f>IF(szeg!AB15&lt;&gt;"",szeg!AB15,"")</f>
        <v>659</v>
      </c>
      <c r="AG29" s="12">
        <f t="shared" si="3"/>
        <v>70104</v>
      </c>
    </row>
    <row r="30" spans="1:33" ht="18.75" customHeight="1" x14ac:dyDescent="0.2">
      <c r="A30" s="692" t="s">
        <v>274</v>
      </c>
      <c r="B30" s="286" t="s">
        <v>301</v>
      </c>
      <c r="C30" s="694">
        <v>55</v>
      </c>
      <c r="D30" s="19">
        <f>IF(vis!C16&lt;&gt;"",vis!C16,"")</f>
        <v>100</v>
      </c>
      <c r="E30" s="19">
        <f>IF(vis!D16&lt;&gt;"",vis!D16,"")</f>
        <v>113</v>
      </c>
      <c r="F30" s="19">
        <f>IF(vis!E16&lt;&gt;"",vis!E16,"")</f>
        <v>140</v>
      </c>
      <c r="G30" s="19">
        <f>IF(vis!F16&lt;&gt;"",vis!F16,"")</f>
        <v>110</v>
      </c>
      <c r="H30" s="19"/>
      <c r="I30" s="19"/>
      <c r="J30" s="19">
        <f>IF(vis!G16&lt;&gt;"",vis!G16,"")</f>
        <v>152</v>
      </c>
      <c r="K30" s="19"/>
      <c r="L30" s="19">
        <f>IF(vis!H16&lt;&gt;"",vis!H16,"")</f>
        <v>105</v>
      </c>
      <c r="M30" s="19">
        <f>IF(vis!I16&lt;&gt;"",vis!I16,"")</f>
        <v>90</v>
      </c>
      <c r="N30" s="19"/>
      <c r="O30" s="19">
        <f>IF(vis!J16&lt;&gt;"",vis!J16,"")</f>
        <v>125</v>
      </c>
      <c r="P30" s="19"/>
      <c r="Q30" s="19"/>
      <c r="R30" s="19" t="str">
        <f>IF(vis!K16&lt;&gt;"",vis!K16,"")</f>
        <v/>
      </c>
      <c r="S30" s="19"/>
      <c r="T30" s="19"/>
      <c r="U30" s="19">
        <f>IF(vis!L16&lt;&gt;"",vis!L16,"")</f>
        <v>48</v>
      </c>
      <c r="V30" s="19">
        <f>IF(vis!M16&lt;&gt;"",vis!M16,"")</f>
        <v>29</v>
      </c>
      <c r="W30" s="19"/>
      <c r="X30" s="19"/>
      <c r="Y30" s="19">
        <f>IF(vis!N16&lt;&gt;"",vis!N16,"")</f>
        <v>108</v>
      </c>
      <c r="Z30" s="19"/>
      <c r="AA30" s="19"/>
      <c r="AB30" s="19"/>
      <c r="AC30" s="19"/>
      <c r="AD30" s="19"/>
      <c r="AE30" s="19"/>
      <c r="AF30" s="19"/>
      <c r="AG30" s="12">
        <f t="shared" si="3"/>
        <v>1120</v>
      </c>
    </row>
    <row r="31" spans="1:33" ht="18.75" customHeight="1" x14ac:dyDescent="0.2">
      <c r="A31" s="693"/>
      <c r="B31" s="286" t="s">
        <v>302</v>
      </c>
      <c r="C31" s="695"/>
      <c r="D31" s="19">
        <f>IF(szeg!C16&lt;&gt;"",szeg!C16,"")</f>
        <v>109</v>
      </c>
      <c r="E31" s="19">
        <f>IF(szeg!D16&lt;&gt;"",szeg!D16,"")</f>
        <v>112</v>
      </c>
      <c r="F31" s="19">
        <f>IF(szeg!E16&lt;&gt;"",szeg!E16,"")</f>
        <v>148</v>
      </c>
      <c r="G31" s="19">
        <f>IF(szeg!F16&lt;&gt;"",szeg!F16,"")</f>
        <v>122</v>
      </c>
      <c r="H31" s="19">
        <f>IF(szeg!G16&lt;&gt;"",szeg!G16,"")</f>
        <v>320</v>
      </c>
      <c r="I31" s="19">
        <f>IF(szeg!H16&lt;&gt;"",szeg!H16,"")</f>
        <v>142</v>
      </c>
      <c r="J31" s="19">
        <f>IF(szeg!I16&lt;&gt;"",szeg!I16,"")</f>
        <v>171</v>
      </c>
      <c r="K31" s="19">
        <f>IF(szeg!J16&lt;&gt;"",szeg!J16,"")</f>
        <v>210</v>
      </c>
      <c r="L31" s="19">
        <f>IF(szeg!K16&lt;&gt;"",szeg!K16,"")</f>
        <v>89</v>
      </c>
      <c r="M31" s="19">
        <f>IF(szeg!L16&lt;&gt;"",szeg!L16,"")</f>
        <v>99</v>
      </c>
      <c r="N31" s="19">
        <f>IF(szeg!M16&lt;&gt;"",szeg!M16,"")</f>
        <v>984</v>
      </c>
      <c r="O31" s="19">
        <f>IF(szeg!N16&lt;&gt;"",szeg!N16,"")</f>
        <v>123</v>
      </c>
      <c r="P31" s="19">
        <f>IF(szeg!O16&lt;&gt;"",szeg!O16,"")</f>
        <v>1</v>
      </c>
      <c r="Q31" s="19">
        <f>IF(szeg!P16&lt;&gt;"",szeg!P16,"")</f>
        <v>16</v>
      </c>
      <c r="R31" s="19"/>
      <c r="S31" s="19">
        <f>IF(szeg!Q16&lt;&gt;"",szeg!Q16,"")</f>
        <v>30</v>
      </c>
      <c r="T31" s="19">
        <f>IF(szeg!R16&lt;&gt;"",szeg!R16,"")</f>
        <v>570</v>
      </c>
      <c r="U31" s="19"/>
      <c r="V31" s="19">
        <f>IF(szeg!S16&lt;&gt;"",szeg!S16,"")</f>
        <v>28</v>
      </c>
      <c r="W31" s="19">
        <f>IF(szeg!T16&lt;&gt;"",szeg!T16,"")</f>
        <v>72</v>
      </c>
      <c r="X31" s="19">
        <f>IF(szeg!U16&lt;&gt;"",szeg!U16,"")</f>
        <v>91</v>
      </c>
      <c r="Y31" s="19"/>
      <c r="Z31" s="19">
        <f>IF(szeg!V16&lt;&gt;"",szeg!V16,"")</f>
        <v>118</v>
      </c>
      <c r="AA31" s="19">
        <f>IF(szeg!W16&lt;&gt;"",szeg!W16,"")</f>
        <v>503</v>
      </c>
      <c r="AB31" s="19">
        <f>IF(szeg!X16&lt;&gt;"",szeg!X16,"")</f>
        <v>31</v>
      </c>
      <c r="AC31" s="19">
        <f>IF(szeg!Y16&lt;&gt;"",szeg!Y16,"")</f>
        <v>4</v>
      </c>
      <c r="AD31" s="19">
        <f>IF(szeg!Z16&lt;&gt;"",szeg!Z16,"")</f>
        <v>34</v>
      </c>
      <c r="AE31" s="19" t="str">
        <f>IF(szeg!AA16&lt;&gt;"",szeg!AA16,"")</f>
        <v/>
      </c>
      <c r="AF31" s="19">
        <f>IF(szeg!AB16&lt;&gt;"",szeg!AB16,"")</f>
        <v>41</v>
      </c>
      <c r="AG31" s="12">
        <f t="shared" si="3"/>
        <v>4168</v>
      </c>
    </row>
    <row r="32" spans="1:33" ht="18.75" customHeight="1" x14ac:dyDescent="0.2">
      <c r="A32" s="692" t="s">
        <v>275</v>
      </c>
      <c r="B32" s="286" t="s">
        <v>301</v>
      </c>
      <c r="C32" s="694">
        <v>56</v>
      </c>
      <c r="D32" s="19">
        <f>IF(vis!C17&lt;&gt;"",vis!C17,"")</f>
        <v>532</v>
      </c>
      <c r="E32" s="19">
        <f>IF(vis!D17&lt;&gt;"",vis!D17,"")</f>
        <v>583</v>
      </c>
      <c r="F32" s="19">
        <f>IF(vis!E17&lt;&gt;"",vis!E17,"")</f>
        <v>748</v>
      </c>
      <c r="G32" s="19">
        <f>IF(vis!F17&lt;&gt;"",vis!F17,"")</f>
        <v>578</v>
      </c>
      <c r="H32" s="19"/>
      <c r="I32" s="19"/>
      <c r="J32" s="19">
        <f>IF(vis!G17&lt;&gt;"",vis!G17,"")</f>
        <v>800</v>
      </c>
      <c r="K32" s="19"/>
      <c r="L32" s="19">
        <f>IF(vis!H17&lt;&gt;"",vis!H17,"")</f>
        <v>539</v>
      </c>
      <c r="M32" s="19">
        <f>IF(vis!I17&lt;&gt;"",vis!I17,"")</f>
        <v>457</v>
      </c>
      <c r="N32" s="19"/>
      <c r="O32" s="19">
        <f>IF(vis!J17&lt;&gt;"",vis!J17,"")</f>
        <v>654</v>
      </c>
      <c r="P32" s="19"/>
      <c r="Q32" s="19"/>
      <c r="R32" s="19" t="str">
        <f>IF(vis!K17&lt;&gt;"",vis!K17,"")</f>
        <v/>
      </c>
      <c r="S32" s="19"/>
      <c r="T32" s="19"/>
      <c r="U32" s="19">
        <f>IF(vis!L17&lt;&gt;"",vis!L17,"")</f>
        <v>251</v>
      </c>
      <c r="V32" s="19">
        <f>IF(vis!M17&lt;&gt;"",vis!M17,"")</f>
        <v>151</v>
      </c>
      <c r="W32" s="19"/>
      <c r="X32" s="19"/>
      <c r="Y32" s="19">
        <f>IF(vis!N17&lt;&gt;"",vis!N17,"")</f>
        <v>570</v>
      </c>
      <c r="Z32" s="19"/>
      <c r="AA32" s="19"/>
      <c r="AB32" s="19"/>
      <c r="AC32" s="19"/>
      <c r="AD32" s="19"/>
      <c r="AE32" s="19"/>
      <c r="AF32" s="19"/>
      <c r="AG32" s="12">
        <f t="shared" si="3"/>
        <v>5863</v>
      </c>
    </row>
    <row r="33" spans="1:33" ht="18.75" customHeight="1" x14ac:dyDescent="0.2">
      <c r="A33" s="693"/>
      <c r="B33" s="286" t="s">
        <v>302</v>
      </c>
      <c r="C33" s="695"/>
      <c r="D33" s="19">
        <f>IF(szeg!C17&lt;&gt;"",szeg!C17,"")</f>
        <v>573</v>
      </c>
      <c r="E33" s="19">
        <f>IF(szeg!D17&lt;&gt;"",szeg!D17,"")</f>
        <v>598</v>
      </c>
      <c r="F33" s="19">
        <f>IF(szeg!E17&lt;&gt;"",szeg!E17,"")</f>
        <v>770</v>
      </c>
      <c r="G33" s="19">
        <f>IF(szeg!F17&lt;&gt;"",szeg!F17,"")</f>
        <v>644</v>
      </c>
      <c r="H33" s="19">
        <f>IF(szeg!G17&lt;&gt;"",szeg!G17,"")</f>
        <v>1672</v>
      </c>
      <c r="I33" s="19">
        <f>IF(szeg!H17&lt;&gt;"",szeg!H17,"")</f>
        <v>735</v>
      </c>
      <c r="J33" s="19">
        <f>IF(szeg!I17&lt;&gt;"",szeg!I17,"")</f>
        <v>892</v>
      </c>
      <c r="K33" s="19">
        <f>IF(szeg!J17&lt;&gt;"",szeg!J17,"")</f>
        <v>1103</v>
      </c>
      <c r="L33" s="19">
        <f>IF(szeg!K17&lt;&gt;"",szeg!K17,"")</f>
        <v>459</v>
      </c>
      <c r="M33" s="19">
        <f>IF(szeg!L17&lt;&gt;"",szeg!L17,"")</f>
        <v>527</v>
      </c>
      <c r="N33" s="19">
        <f>IF(szeg!M17&lt;&gt;"",szeg!M17,"")</f>
        <v>5107</v>
      </c>
      <c r="O33" s="19">
        <f>IF(szeg!N17&lt;&gt;"",szeg!N17,"")</f>
        <v>642</v>
      </c>
      <c r="P33" s="19">
        <f>IF(szeg!O17&lt;&gt;"",szeg!O17,"")</f>
        <v>3</v>
      </c>
      <c r="Q33" s="19">
        <f>IF(szeg!P17&lt;&gt;"",szeg!P17,"")</f>
        <v>85</v>
      </c>
      <c r="R33" s="19"/>
      <c r="S33" s="19">
        <f>IF(szeg!Q17&lt;&gt;"",szeg!Q17,"")</f>
        <v>150</v>
      </c>
      <c r="T33" s="19">
        <f>IF(szeg!R17&lt;&gt;"",szeg!R17,"")</f>
        <v>2979</v>
      </c>
      <c r="U33" s="19"/>
      <c r="V33" s="19">
        <f>IF(szeg!S17&lt;&gt;"",szeg!S17,"")</f>
        <v>145</v>
      </c>
      <c r="W33" s="19">
        <f>IF(szeg!T17&lt;&gt;"",szeg!T17,"")</f>
        <v>380</v>
      </c>
      <c r="X33" s="19">
        <f>IF(szeg!U17&lt;&gt;"",szeg!U17,"")</f>
        <v>482</v>
      </c>
      <c r="Y33" s="19"/>
      <c r="Z33" s="19">
        <f>IF(szeg!V17&lt;&gt;"",szeg!V17,"")</f>
        <v>621</v>
      </c>
      <c r="AA33" s="19">
        <f>IF(szeg!W17&lt;&gt;"",szeg!W17,"")</f>
        <v>2618</v>
      </c>
      <c r="AB33" s="19">
        <f>IF(szeg!X17&lt;&gt;"",szeg!X17,"")</f>
        <v>162</v>
      </c>
      <c r="AC33" s="19">
        <f>IF(szeg!Y17&lt;&gt;"",szeg!Y17,"")</f>
        <v>20</v>
      </c>
      <c r="AD33" s="19">
        <f>IF(szeg!Z17&lt;&gt;"",szeg!Z17,"")</f>
        <v>175</v>
      </c>
      <c r="AE33" s="19" t="str">
        <f>IF(szeg!AA17&lt;&gt;"",szeg!AA17,"")</f>
        <v/>
      </c>
      <c r="AF33" s="19">
        <f>IF(szeg!AB17&lt;&gt;"",szeg!AB17,"")</f>
        <v>205</v>
      </c>
      <c r="AG33" s="12">
        <f t="shared" si="3"/>
        <v>21747</v>
      </c>
    </row>
    <row r="34" spans="1:33" ht="18.75" customHeight="1" x14ac:dyDescent="0.2">
      <c r="A34" s="692" t="s">
        <v>276</v>
      </c>
      <c r="B34" s="286" t="s">
        <v>301</v>
      </c>
      <c r="C34" s="694">
        <v>57</v>
      </c>
      <c r="D34" s="19">
        <f>IF(vis!C18&lt;&gt;"",vis!C18,"")</f>
        <v>128</v>
      </c>
      <c r="E34" s="19">
        <f>IF(vis!D18&lt;&gt;"",vis!D18,"")</f>
        <v>139</v>
      </c>
      <c r="F34" s="19">
        <f>IF(vis!E18&lt;&gt;"",vis!E18,"")</f>
        <v>180</v>
      </c>
      <c r="G34" s="19">
        <f>IF(vis!F18&lt;&gt;"",vis!F18,"")</f>
        <v>138</v>
      </c>
      <c r="H34" s="19"/>
      <c r="I34" s="19"/>
      <c r="J34" s="19">
        <f>IF(vis!G18&lt;&gt;"",vis!G18,"")</f>
        <v>191</v>
      </c>
      <c r="K34" s="19"/>
      <c r="L34" s="19">
        <f>IF(vis!H18&lt;&gt;"",vis!H18,"")</f>
        <v>128</v>
      </c>
      <c r="M34" s="19">
        <f>IF(vis!I18&lt;&gt;"",vis!I18,"")</f>
        <v>108</v>
      </c>
      <c r="N34" s="19"/>
      <c r="O34" s="19">
        <f>IF(vis!J18&lt;&gt;"",vis!J18,"")</f>
        <v>156</v>
      </c>
      <c r="P34" s="19"/>
      <c r="Q34" s="19"/>
      <c r="R34" s="19" t="str">
        <f>IF(vis!K18&lt;&gt;"",vis!K18,"")</f>
        <v/>
      </c>
      <c r="S34" s="19"/>
      <c r="T34" s="19"/>
      <c r="U34" s="19">
        <f>IF(vis!L18&lt;&gt;"",vis!L18,"")</f>
        <v>60</v>
      </c>
      <c r="V34" s="19">
        <f>IF(vis!M18&lt;&gt;"",vis!M18,"")</f>
        <v>36</v>
      </c>
      <c r="W34" s="19"/>
      <c r="X34" s="19"/>
      <c r="Y34" s="19">
        <f>IF(vis!N18&lt;&gt;"",vis!N18,"")</f>
        <v>136</v>
      </c>
      <c r="Z34" s="19"/>
      <c r="AA34" s="19"/>
      <c r="AB34" s="19"/>
      <c r="AC34" s="19"/>
      <c r="AD34" s="19"/>
      <c r="AE34" s="19"/>
      <c r="AF34" s="19"/>
      <c r="AG34" s="12">
        <f t="shared" si="3"/>
        <v>1400</v>
      </c>
    </row>
    <row r="35" spans="1:33" ht="18.75" customHeight="1" x14ac:dyDescent="0.2">
      <c r="A35" s="693"/>
      <c r="B35" s="286" t="s">
        <v>302</v>
      </c>
      <c r="C35" s="695"/>
      <c r="D35" s="19">
        <f>IF(szeg!C18&lt;&gt;"",szeg!C18,"")</f>
        <v>137</v>
      </c>
      <c r="E35" s="19">
        <f>IF(szeg!D18&lt;&gt;"",szeg!D18,"")</f>
        <v>144</v>
      </c>
      <c r="F35" s="19">
        <f>IF(szeg!E18&lt;&gt;"",szeg!E18,"")</f>
        <v>184</v>
      </c>
      <c r="G35" s="19">
        <f>IF(szeg!F18&lt;&gt;"",szeg!F18,"")</f>
        <v>154</v>
      </c>
      <c r="H35" s="19">
        <f>IF(szeg!G18&lt;&gt;"",szeg!G18,"")</f>
        <v>399</v>
      </c>
      <c r="I35" s="19">
        <f>IF(szeg!H18&lt;&gt;"",szeg!H18,"")</f>
        <v>175</v>
      </c>
      <c r="J35" s="19">
        <f>IF(szeg!I18&lt;&gt;"",szeg!I18,"")</f>
        <v>213</v>
      </c>
      <c r="K35" s="19">
        <f>IF(szeg!J18&lt;&gt;"",szeg!J18,"")</f>
        <v>264</v>
      </c>
      <c r="L35" s="19">
        <f>IF(szeg!K18&lt;&gt;"",szeg!K18,"")</f>
        <v>109</v>
      </c>
      <c r="M35" s="19">
        <f>IF(szeg!L18&lt;&gt;"",szeg!L18,"")</f>
        <v>127</v>
      </c>
      <c r="N35" s="19">
        <f>IF(szeg!M18&lt;&gt;"",szeg!M18,"")</f>
        <v>1217</v>
      </c>
      <c r="O35" s="19">
        <f>IF(szeg!N18&lt;&gt;"",szeg!N18,"")</f>
        <v>153</v>
      </c>
      <c r="P35" s="19">
        <f>IF(szeg!O18&lt;&gt;"",szeg!O18,"")</f>
        <v>1</v>
      </c>
      <c r="Q35" s="19">
        <f>IF(szeg!P18&lt;&gt;"",szeg!P18,"")</f>
        <v>20</v>
      </c>
      <c r="R35" s="19"/>
      <c r="S35" s="19">
        <f>IF(szeg!Q18&lt;&gt;"",szeg!Q18,"")</f>
        <v>36</v>
      </c>
      <c r="T35" s="19">
        <f>IF(szeg!R18&lt;&gt;"",szeg!R18,"")</f>
        <v>711</v>
      </c>
      <c r="U35" s="19"/>
      <c r="V35" s="19">
        <f>IF(szeg!S18&lt;&gt;"",szeg!S18,"")</f>
        <v>34</v>
      </c>
      <c r="W35" s="19">
        <f>IF(szeg!T18&lt;&gt;"",szeg!T18,"")</f>
        <v>91</v>
      </c>
      <c r="X35" s="19">
        <f>IF(szeg!U18&lt;&gt;"",szeg!U18,"")</f>
        <v>115</v>
      </c>
      <c r="Y35" s="19"/>
      <c r="Z35" s="19">
        <f>IF(szeg!V18&lt;&gt;"",szeg!V18,"")</f>
        <v>148</v>
      </c>
      <c r="AA35" s="19">
        <f>IF(szeg!W18&lt;&gt;"",szeg!W18,"")</f>
        <v>625</v>
      </c>
      <c r="AB35" s="19">
        <f>IF(szeg!X18&lt;&gt;"",szeg!X18,"")</f>
        <v>39</v>
      </c>
      <c r="AC35" s="19">
        <f>IF(szeg!Y18&lt;&gt;"",szeg!Y18,"")</f>
        <v>5</v>
      </c>
      <c r="AD35" s="19">
        <f>IF(szeg!Z18&lt;&gt;"",szeg!Z18,"")</f>
        <v>42</v>
      </c>
      <c r="AE35" s="19" t="str">
        <f>IF(szeg!AA18&lt;&gt;"",szeg!AA18,"")</f>
        <v/>
      </c>
      <c r="AF35" s="19">
        <f>IF(szeg!AB18&lt;&gt;"",szeg!AB18,"")</f>
        <v>48</v>
      </c>
      <c r="AG35" s="12">
        <f t="shared" si="3"/>
        <v>5191</v>
      </c>
    </row>
    <row r="36" spans="1:33" ht="18.75" customHeight="1" x14ac:dyDescent="0.2">
      <c r="A36" s="692" t="s">
        <v>277</v>
      </c>
      <c r="B36" s="286" t="s">
        <v>301</v>
      </c>
      <c r="C36" s="694">
        <v>815</v>
      </c>
      <c r="D36" s="19">
        <f>IF(vis!C19&lt;&gt;"",vis!C19,"")</f>
        <v>2</v>
      </c>
      <c r="E36" s="19">
        <f>IF(vis!D19&lt;&gt;"",vis!D19,"")</f>
        <v>2</v>
      </c>
      <c r="F36" s="19">
        <f>IF(vis!E19&lt;&gt;"",vis!E19,"")</f>
        <v>2</v>
      </c>
      <c r="G36" s="19">
        <f>IF(vis!F19&lt;&gt;"",vis!F19,"")</f>
        <v>2</v>
      </c>
      <c r="H36" s="19"/>
      <c r="I36" s="19"/>
      <c r="J36" s="19">
        <f>IF(vis!G19&lt;&gt;"",vis!G19,"")</f>
        <v>2</v>
      </c>
      <c r="K36" s="19"/>
      <c r="L36" s="19">
        <f>IF(vis!H19&lt;&gt;"",vis!H19,"")</f>
        <v>1</v>
      </c>
      <c r="M36" s="19">
        <f>IF(vis!I19&lt;&gt;"",vis!I19,"")</f>
        <v>1</v>
      </c>
      <c r="N36" s="19"/>
      <c r="O36" s="19">
        <f>IF(vis!J19&lt;&gt;"",vis!J19,"")</f>
        <v>2</v>
      </c>
      <c r="P36" s="19"/>
      <c r="Q36" s="19"/>
      <c r="R36" s="19" t="str">
        <f>IF(vis!K19&lt;&gt;"",vis!K19,"")</f>
        <v/>
      </c>
      <c r="S36" s="19"/>
      <c r="T36" s="19"/>
      <c r="U36" s="19">
        <f>IF(vis!L19&lt;&gt;"",vis!L19,"")</f>
        <v>1</v>
      </c>
      <c r="V36" s="19" t="str">
        <f>IF(vis!M19&lt;&gt;"",vis!M19,"")</f>
        <v/>
      </c>
      <c r="W36" s="19"/>
      <c r="X36" s="19"/>
      <c r="Y36" s="19">
        <f>IF(vis!N19&lt;&gt;"",vis!N19,"")</f>
        <v>2</v>
      </c>
      <c r="Z36" s="19"/>
      <c r="AA36" s="19"/>
      <c r="AB36" s="19"/>
      <c r="AC36" s="19"/>
      <c r="AD36" s="19"/>
      <c r="AE36" s="19"/>
      <c r="AF36" s="19"/>
      <c r="AG36" s="12">
        <f t="shared" si="3"/>
        <v>17</v>
      </c>
    </row>
    <row r="37" spans="1:33" ht="18.75" customHeight="1" x14ac:dyDescent="0.2">
      <c r="A37" s="693"/>
      <c r="B37" s="286" t="s">
        <v>302</v>
      </c>
      <c r="C37" s="695"/>
      <c r="D37" s="19">
        <f>IF(szeg!C19&lt;&gt;"",szeg!C19,"")</f>
        <v>2</v>
      </c>
      <c r="E37" s="19">
        <f>IF(szeg!D19&lt;&gt;"",szeg!D19,"")</f>
        <v>2</v>
      </c>
      <c r="F37" s="19">
        <f>IF(szeg!E19&lt;&gt;"",szeg!E19,"")</f>
        <v>2</v>
      </c>
      <c r="G37" s="19">
        <f>IF(szeg!F19&lt;&gt;"",szeg!F19,"")</f>
        <v>2</v>
      </c>
      <c r="H37" s="19">
        <f>IF(szeg!G19&lt;&gt;"",szeg!G19,"")</f>
        <v>5</v>
      </c>
      <c r="I37" s="19">
        <f>IF(szeg!H19&lt;&gt;"",szeg!H19,"")</f>
        <v>2</v>
      </c>
      <c r="J37" s="19">
        <f>IF(szeg!I19&lt;&gt;"",szeg!I19,"")</f>
        <v>3</v>
      </c>
      <c r="K37" s="19">
        <f>IF(szeg!J19&lt;&gt;"",szeg!J19,"")</f>
        <v>3</v>
      </c>
      <c r="L37" s="19">
        <f>IF(szeg!K19&lt;&gt;"",szeg!K19,"")</f>
        <v>1</v>
      </c>
      <c r="M37" s="19">
        <f>IF(szeg!L19&lt;&gt;"",szeg!L19,"")</f>
        <v>2</v>
      </c>
      <c r="N37" s="19">
        <f>IF(szeg!M19&lt;&gt;"",szeg!M19,"")</f>
        <v>15</v>
      </c>
      <c r="O37" s="19">
        <f>IF(szeg!N19&lt;&gt;"",szeg!N19,"")</f>
        <v>2</v>
      </c>
      <c r="P37" s="19" t="str">
        <f>IF(szeg!O19&lt;&gt;"",szeg!O19,"")</f>
        <v/>
      </c>
      <c r="Q37" s="19" t="str">
        <f>IF(szeg!P19&lt;&gt;"",szeg!P19,"")</f>
        <v/>
      </c>
      <c r="R37" s="19"/>
      <c r="S37" s="19" t="str">
        <f>IF(szeg!Q19&lt;&gt;"",szeg!Q19,"")</f>
        <v/>
      </c>
      <c r="T37" s="19">
        <f>IF(szeg!R19&lt;&gt;"",szeg!R19,"")</f>
        <v>9</v>
      </c>
      <c r="U37" s="19"/>
      <c r="V37" s="19" t="str">
        <f>IF(szeg!S19&lt;&gt;"",szeg!S19,"")</f>
        <v/>
      </c>
      <c r="W37" s="19">
        <f>IF(szeg!T19&lt;&gt;"",szeg!T19,"")</f>
        <v>1</v>
      </c>
      <c r="X37" s="19">
        <f>IF(szeg!U19&lt;&gt;"",szeg!U19,"")</f>
        <v>1</v>
      </c>
      <c r="Y37" s="19"/>
      <c r="Z37" s="19">
        <f>IF(szeg!V19&lt;&gt;"",szeg!V19,"")</f>
        <v>2</v>
      </c>
      <c r="AA37" s="19">
        <f>IF(szeg!W19&lt;&gt;"",szeg!W19,"")</f>
        <v>8</v>
      </c>
      <c r="AB37" s="19" t="str">
        <f>IF(szeg!X19&lt;&gt;"",szeg!X19,"")</f>
        <v/>
      </c>
      <c r="AC37" s="19" t="str">
        <f>IF(szeg!Y19&lt;&gt;"",szeg!Y19,"")</f>
        <v/>
      </c>
      <c r="AD37" s="19">
        <f>IF(szeg!Z19&lt;&gt;"",szeg!Z19,"")</f>
        <v>1</v>
      </c>
      <c r="AE37" s="19" t="str">
        <f>IF(szeg!AA19&lt;&gt;"",szeg!AA19,"")</f>
        <v/>
      </c>
      <c r="AF37" s="19" t="str">
        <f>IF(szeg!AB19&lt;&gt;"",szeg!AB19,"")</f>
        <v/>
      </c>
      <c r="AG37" s="12">
        <f t="shared" si="3"/>
        <v>63</v>
      </c>
    </row>
    <row r="38" spans="1:33" ht="18.75" customHeight="1" x14ac:dyDescent="0.2">
      <c r="A38" s="692" t="s">
        <v>278</v>
      </c>
      <c r="B38" s="286" t="s">
        <v>301</v>
      </c>
      <c r="C38" s="694" t="s">
        <v>268</v>
      </c>
      <c r="D38" s="19">
        <f>IF(vis!C20&lt;&gt;"",vis!C20,"")</f>
        <v>33</v>
      </c>
      <c r="E38" s="19">
        <f>IF(vis!D20&lt;&gt;"",vis!D20,"")</f>
        <v>36</v>
      </c>
      <c r="F38" s="19">
        <f>IF(vis!E20&lt;&gt;"",vis!E20,"")</f>
        <v>47</v>
      </c>
      <c r="G38" s="19">
        <f>IF(vis!F20&lt;&gt;"",vis!F20,"")</f>
        <v>36</v>
      </c>
      <c r="H38" s="19"/>
      <c r="I38" s="19"/>
      <c r="J38" s="19">
        <f>IF(vis!G20&lt;&gt;"",vis!G20,"")</f>
        <v>50</v>
      </c>
      <c r="K38" s="19"/>
      <c r="L38" s="19">
        <f>IF(vis!H20&lt;&gt;"",vis!H20,"")</f>
        <v>33</v>
      </c>
      <c r="M38" s="19">
        <f>IF(vis!I20&lt;&gt;"",vis!I20,"")</f>
        <v>28</v>
      </c>
      <c r="N38" s="19"/>
      <c r="O38" s="19">
        <f>IF(vis!J20&lt;&gt;"",vis!J20,"")</f>
        <v>41</v>
      </c>
      <c r="P38" s="19"/>
      <c r="Q38" s="19"/>
      <c r="R38" s="19">
        <f>IF(vis!K20&lt;&gt;"",vis!K20,"")</f>
        <v>1</v>
      </c>
      <c r="S38" s="19"/>
      <c r="T38" s="19"/>
      <c r="U38" s="19">
        <f>IF(vis!L20&lt;&gt;"",vis!L20,"")</f>
        <v>16</v>
      </c>
      <c r="V38" s="19">
        <f>IF(vis!M20&lt;&gt;"",vis!M20,"")</f>
        <v>9</v>
      </c>
      <c r="W38" s="19"/>
      <c r="X38" s="19"/>
      <c r="Y38" s="19">
        <f>IF(vis!N20&lt;&gt;"",vis!N20,"")</f>
        <v>35</v>
      </c>
      <c r="Z38" s="19"/>
      <c r="AA38" s="19"/>
      <c r="AB38" s="19"/>
      <c r="AC38" s="19"/>
      <c r="AD38" s="19"/>
      <c r="AE38" s="19"/>
      <c r="AF38" s="19"/>
      <c r="AG38" s="12">
        <f t="shared" si="3"/>
        <v>365</v>
      </c>
    </row>
    <row r="39" spans="1:33" ht="18.75" customHeight="1" x14ac:dyDescent="0.2">
      <c r="A39" s="693"/>
      <c r="B39" s="286" t="s">
        <v>302</v>
      </c>
      <c r="C39" s="695"/>
      <c r="D39" s="19">
        <f>IF(szeg!C20&lt;&gt;"",szeg!C20,"")</f>
        <v>36</v>
      </c>
      <c r="E39" s="19">
        <f>IF(szeg!D20&lt;&gt;"",szeg!D20,"")</f>
        <v>37</v>
      </c>
      <c r="F39" s="19">
        <f>IF(szeg!E20&lt;&gt;"",szeg!E20,"")</f>
        <v>48</v>
      </c>
      <c r="G39" s="19">
        <f>IF(szeg!F20&lt;&gt;"",szeg!F20,"")</f>
        <v>40</v>
      </c>
      <c r="H39" s="19">
        <f>IF(szeg!G20&lt;&gt;"",szeg!G20,"")</f>
        <v>104</v>
      </c>
      <c r="I39" s="19">
        <f>IF(szeg!H20&lt;&gt;"",szeg!H20,"")</f>
        <v>46</v>
      </c>
      <c r="J39" s="19">
        <f>IF(szeg!I20&lt;&gt;"",szeg!I20,"")</f>
        <v>55</v>
      </c>
      <c r="K39" s="19">
        <f>IF(szeg!J20&lt;&gt;"",szeg!J20,"")</f>
        <v>69</v>
      </c>
      <c r="L39" s="19">
        <f>IF(szeg!K20&lt;&gt;"",szeg!K20,"")</f>
        <v>28</v>
      </c>
      <c r="M39" s="19">
        <f>IF(szeg!L20&lt;&gt;"",szeg!L20,"")</f>
        <v>33</v>
      </c>
      <c r="N39" s="19">
        <f>IF(szeg!M20&lt;&gt;"",szeg!M20,"")</f>
        <v>316</v>
      </c>
      <c r="O39" s="19">
        <f>IF(szeg!N20&lt;&gt;"",szeg!N20,"")</f>
        <v>40</v>
      </c>
      <c r="P39" s="19">
        <f>IF(szeg!O20&lt;&gt;"",szeg!O20,"")</f>
        <v>0</v>
      </c>
      <c r="Q39" s="19">
        <f>IF(szeg!P20&lt;&gt;"",szeg!P20,"")</f>
        <v>5</v>
      </c>
      <c r="R39" s="19"/>
      <c r="S39" s="19">
        <f>IF(szeg!Q20&lt;&gt;"",szeg!Q20,"")</f>
        <v>9</v>
      </c>
      <c r="T39" s="19">
        <f>IF(szeg!R20&lt;&gt;"",szeg!R20,"")</f>
        <v>185</v>
      </c>
      <c r="U39" s="19"/>
      <c r="V39" s="19">
        <f>IF(szeg!S20&lt;&gt;"",szeg!S20,"")</f>
        <v>9</v>
      </c>
      <c r="W39" s="19">
        <f>IF(szeg!T20&lt;&gt;"",szeg!T20,"")</f>
        <v>24</v>
      </c>
      <c r="X39" s="19">
        <f>IF(szeg!U20&lt;&gt;"",szeg!U20,"")</f>
        <v>30</v>
      </c>
      <c r="Y39" s="19"/>
      <c r="Z39" s="19">
        <f>IF(szeg!V20&lt;&gt;"",szeg!V20,"")</f>
        <v>39</v>
      </c>
      <c r="AA39" s="19">
        <f>IF(szeg!W20&lt;&gt;"",szeg!W20,"")</f>
        <v>162</v>
      </c>
      <c r="AB39" s="19">
        <f>IF(szeg!X20&lt;&gt;"",szeg!X20,"")</f>
        <v>10</v>
      </c>
      <c r="AC39" s="19">
        <f>IF(szeg!Y20&lt;&gt;"",szeg!Y20,"")</f>
        <v>1</v>
      </c>
      <c r="AD39" s="19">
        <f>IF(szeg!Z20&lt;&gt;"",szeg!Z20,"")</f>
        <v>11</v>
      </c>
      <c r="AE39" s="19">
        <f>IF(szeg!AA20&lt;&gt;"",szeg!AA20,"")</f>
        <v>0</v>
      </c>
      <c r="AF39" s="19">
        <f>IF(szeg!AB20&lt;&gt;"",szeg!AB20,"")</f>
        <v>13</v>
      </c>
      <c r="AG39" s="12">
        <f t="shared" si="3"/>
        <v>1350</v>
      </c>
    </row>
    <row r="40" spans="1:33" s="26" customFormat="1" ht="18.75" customHeight="1" x14ac:dyDescent="0.2">
      <c r="A40" s="696" t="s">
        <v>279</v>
      </c>
      <c r="B40" s="286" t="s">
        <v>301</v>
      </c>
      <c r="C40" s="699"/>
      <c r="D40" s="11">
        <f>SUM(D22,D24,D26,D28,D30,D32,D34,D36,D38,)</f>
        <v>3191</v>
      </c>
      <c r="E40" s="11">
        <f t="shared" ref="E40:AD41" si="4">SUM(E22,E24,E26,E28,E30,E32,E34,E36,E38,)</f>
        <v>3499</v>
      </c>
      <c r="F40" s="11">
        <f t="shared" si="4"/>
        <v>4490</v>
      </c>
      <c r="G40" s="11">
        <f t="shared" si="4"/>
        <v>3466</v>
      </c>
      <c r="H40" s="11">
        <f t="shared" si="4"/>
        <v>0</v>
      </c>
      <c r="I40" s="11">
        <f t="shared" si="4"/>
        <v>0</v>
      </c>
      <c r="J40" s="11">
        <f t="shared" si="4"/>
        <v>4802</v>
      </c>
      <c r="K40" s="11">
        <f t="shared" si="4"/>
        <v>0</v>
      </c>
      <c r="L40" s="11">
        <f t="shared" si="4"/>
        <v>3234</v>
      </c>
      <c r="M40" s="11">
        <f t="shared" si="4"/>
        <v>2741</v>
      </c>
      <c r="N40" s="11">
        <f t="shared" si="4"/>
        <v>0</v>
      </c>
      <c r="O40" s="11">
        <f t="shared" si="4"/>
        <v>3926</v>
      </c>
      <c r="P40" s="11">
        <f t="shared" si="4"/>
        <v>0</v>
      </c>
      <c r="Q40" s="11">
        <f t="shared" si="4"/>
        <v>0</v>
      </c>
      <c r="R40" s="11">
        <f t="shared" si="4"/>
        <v>1</v>
      </c>
      <c r="S40" s="11">
        <f t="shared" si="4"/>
        <v>0</v>
      </c>
      <c r="T40" s="11">
        <f t="shared" si="4"/>
        <v>0</v>
      </c>
      <c r="U40" s="11">
        <f t="shared" si="4"/>
        <v>1504</v>
      </c>
      <c r="V40" s="11">
        <f t="shared" si="4"/>
        <v>907</v>
      </c>
      <c r="W40" s="11">
        <f t="shared" si="4"/>
        <v>0</v>
      </c>
      <c r="X40" s="11">
        <f t="shared" si="4"/>
        <v>0</v>
      </c>
      <c r="Y40" s="11">
        <f t="shared" si="4"/>
        <v>3417</v>
      </c>
      <c r="Z40" s="11">
        <f t="shared" si="4"/>
        <v>0</v>
      </c>
      <c r="AA40" s="11">
        <f t="shared" si="4"/>
        <v>0</v>
      </c>
      <c r="AB40" s="11">
        <f t="shared" si="4"/>
        <v>0</v>
      </c>
      <c r="AC40" s="11">
        <f t="shared" si="4"/>
        <v>0</v>
      </c>
      <c r="AD40" s="11">
        <f t="shared" si="4"/>
        <v>0</v>
      </c>
      <c r="AE40" s="11">
        <f>SUM(AE22,AE24,AE26,AE28,AE30,AE32,AE34,AE36,AE38,)</f>
        <v>0</v>
      </c>
      <c r="AF40" s="11">
        <f>SUM(AF22,AF24,AF26,AF28,AF30,AF32,AF34,AF36,AF38,)</f>
        <v>0</v>
      </c>
      <c r="AG40" s="12">
        <f>SUM(AG22,AG24,AG26,AG28,AG30,AG32,AG34,AG36,AG38)</f>
        <v>35178</v>
      </c>
    </row>
    <row r="41" spans="1:33" s="26" customFormat="1" ht="18.75" customHeight="1" x14ac:dyDescent="0.2">
      <c r="A41" s="698"/>
      <c r="B41" s="286" t="s">
        <v>302</v>
      </c>
      <c r="C41" s="701"/>
      <c r="D41" s="11">
        <f>SUM(D23,D25,D27,D29,D31,D33,D35,D37,D39,)</f>
        <v>3437</v>
      </c>
      <c r="E41" s="11">
        <f t="shared" si="4"/>
        <v>3585</v>
      </c>
      <c r="F41" s="11">
        <f t="shared" si="4"/>
        <v>4619</v>
      </c>
      <c r="G41" s="11">
        <f t="shared" si="4"/>
        <v>3865</v>
      </c>
      <c r="H41" s="11">
        <f t="shared" si="4"/>
        <v>10031</v>
      </c>
      <c r="I41" s="11">
        <f t="shared" si="4"/>
        <v>4408</v>
      </c>
      <c r="J41" s="11">
        <f t="shared" si="4"/>
        <v>5352</v>
      </c>
      <c r="K41" s="11">
        <f t="shared" si="4"/>
        <v>6618</v>
      </c>
      <c r="L41" s="11">
        <f t="shared" si="4"/>
        <v>2756</v>
      </c>
      <c r="M41" s="11">
        <f t="shared" si="4"/>
        <v>3164</v>
      </c>
      <c r="N41" s="11">
        <f t="shared" si="4"/>
        <v>30639</v>
      </c>
      <c r="O41" s="11">
        <f t="shared" si="4"/>
        <v>3850</v>
      </c>
      <c r="P41" s="11">
        <f t="shared" si="4"/>
        <v>16</v>
      </c>
      <c r="Q41" s="11">
        <f t="shared" si="4"/>
        <v>509</v>
      </c>
      <c r="R41" s="11">
        <f t="shared" si="4"/>
        <v>0</v>
      </c>
      <c r="S41" s="11">
        <f t="shared" si="4"/>
        <v>902</v>
      </c>
      <c r="T41" s="11">
        <f t="shared" si="4"/>
        <v>17874</v>
      </c>
      <c r="U41" s="11">
        <f t="shared" si="4"/>
        <v>0</v>
      </c>
      <c r="V41" s="11">
        <f t="shared" si="4"/>
        <v>867</v>
      </c>
      <c r="W41" s="11">
        <f t="shared" si="4"/>
        <v>2280</v>
      </c>
      <c r="X41" s="11">
        <f t="shared" si="4"/>
        <v>2889</v>
      </c>
      <c r="Y41" s="11">
        <f t="shared" si="4"/>
        <v>0</v>
      </c>
      <c r="Z41" s="11">
        <f t="shared" si="4"/>
        <v>3725</v>
      </c>
      <c r="AA41" s="11">
        <f t="shared" si="4"/>
        <v>15706</v>
      </c>
      <c r="AB41" s="11">
        <f t="shared" si="4"/>
        <v>974</v>
      </c>
      <c r="AC41" s="11">
        <f t="shared" si="4"/>
        <v>118</v>
      </c>
      <c r="AD41" s="11">
        <f t="shared" si="4"/>
        <v>1052</v>
      </c>
      <c r="AE41" s="11">
        <f>SUM(AE23,AE25,AE27,AE29,AE31,AE33,AE35,AE37,AE39,)</f>
        <v>0</v>
      </c>
      <c r="AF41" s="11">
        <f>SUM(AF23,AF25,AF27,AF29,AF31,AF33,AF35,AF37,AF39,)</f>
        <v>1231</v>
      </c>
      <c r="AG41" s="12">
        <f>SUM(AG23,AG25,AG27,AG29,AG31,AG33,AG35,AG37,AG39)</f>
        <v>130467</v>
      </c>
    </row>
    <row r="42" spans="1:33" s="26" customFormat="1" ht="18.75" customHeight="1" x14ac:dyDescent="0.2">
      <c r="A42" s="696" t="s">
        <v>280</v>
      </c>
      <c r="B42" s="286" t="s">
        <v>301</v>
      </c>
      <c r="C42" s="699"/>
      <c r="D42" s="11">
        <f t="shared" ref="D42:AG43" si="5">SUM(D40,D20)</f>
        <v>27455</v>
      </c>
      <c r="E42" s="11">
        <f t="shared" si="5"/>
        <v>29911</v>
      </c>
      <c r="F42" s="11">
        <f t="shared" si="5"/>
        <v>38642</v>
      </c>
      <c r="G42" s="11">
        <f t="shared" si="5"/>
        <v>29735</v>
      </c>
      <c r="H42" s="11">
        <f t="shared" si="5"/>
        <v>0</v>
      </c>
      <c r="I42" s="11">
        <f t="shared" si="5"/>
        <v>0</v>
      </c>
      <c r="J42" s="11">
        <f t="shared" si="5"/>
        <v>41159</v>
      </c>
      <c r="K42" s="11">
        <f t="shared" si="5"/>
        <v>0</v>
      </c>
      <c r="L42" s="11">
        <f t="shared" si="5"/>
        <v>27616</v>
      </c>
      <c r="M42" s="11">
        <f t="shared" si="5"/>
        <v>23316</v>
      </c>
      <c r="N42" s="11">
        <f t="shared" si="5"/>
        <v>0</v>
      </c>
      <c r="O42" s="11">
        <f t="shared" si="5"/>
        <v>33633</v>
      </c>
      <c r="P42" s="11">
        <f t="shared" si="5"/>
        <v>0</v>
      </c>
      <c r="Q42" s="11">
        <f t="shared" si="5"/>
        <v>0</v>
      </c>
      <c r="R42" s="11">
        <f t="shared" si="5"/>
        <v>418</v>
      </c>
      <c r="S42" s="11">
        <f t="shared" si="5"/>
        <v>0</v>
      </c>
      <c r="T42" s="11">
        <f t="shared" si="5"/>
        <v>0</v>
      </c>
      <c r="U42" s="11">
        <f t="shared" si="5"/>
        <v>12877</v>
      </c>
      <c r="V42" s="11">
        <f t="shared" si="5"/>
        <v>7775</v>
      </c>
      <c r="W42" s="11">
        <f t="shared" si="5"/>
        <v>0</v>
      </c>
      <c r="X42" s="11">
        <f t="shared" si="5"/>
        <v>0</v>
      </c>
      <c r="Y42" s="11">
        <f t="shared" si="5"/>
        <v>29296</v>
      </c>
      <c r="Z42" s="11">
        <f t="shared" si="5"/>
        <v>0</v>
      </c>
      <c r="AA42" s="11">
        <f t="shared" si="5"/>
        <v>0</v>
      </c>
      <c r="AB42" s="11">
        <f t="shared" si="5"/>
        <v>0</v>
      </c>
      <c r="AC42" s="11">
        <f t="shared" si="5"/>
        <v>0</v>
      </c>
      <c r="AD42" s="11">
        <f t="shared" si="5"/>
        <v>0</v>
      </c>
      <c r="AE42" s="11">
        <f>SUM(AE40,AE20)</f>
        <v>0</v>
      </c>
      <c r="AF42" s="11">
        <f>SUM(AF40,AF20)</f>
        <v>0</v>
      </c>
      <c r="AG42" s="12">
        <f t="shared" si="5"/>
        <v>301833</v>
      </c>
    </row>
    <row r="43" spans="1:33" s="26" customFormat="1" ht="18.75" customHeight="1" x14ac:dyDescent="0.2">
      <c r="A43" s="697"/>
      <c r="B43" s="286" t="s">
        <v>302</v>
      </c>
      <c r="C43" s="700"/>
      <c r="D43" s="11">
        <f t="shared" si="5"/>
        <v>29499</v>
      </c>
      <c r="E43" s="11">
        <f t="shared" si="5"/>
        <v>30862</v>
      </c>
      <c r="F43" s="11">
        <f t="shared" si="5"/>
        <v>39523</v>
      </c>
      <c r="G43" s="11">
        <f t="shared" si="5"/>
        <v>33194</v>
      </c>
      <c r="H43" s="11">
        <f t="shared" si="5"/>
        <v>85873</v>
      </c>
      <c r="I43" s="11">
        <f t="shared" si="5"/>
        <v>37683</v>
      </c>
      <c r="J43" s="11">
        <f t="shared" si="5"/>
        <v>45833</v>
      </c>
      <c r="K43" s="11">
        <f t="shared" si="5"/>
        <v>56704</v>
      </c>
      <c r="L43" s="11">
        <f t="shared" si="5"/>
        <v>23565</v>
      </c>
      <c r="M43" s="11">
        <f t="shared" si="5"/>
        <v>27219</v>
      </c>
      <c r="N43" s="11">
        <f t="shared" si="5"/>
        <v>261975</v>
      </c>
      <c r="O43" s="11">
        <f t="shared" si="5"/>
        <v>32994</v>
      </c>
      <c r="P43" s="11">
        <f t="shared" si="5"/>
        <v>137</v>
      </c>
      <c r="Q43" s="11">
        <f t="shared" si="5"/>
        <v>4352</v>
      </c>
      <c r="R43" s="11">
        <f t="shared" si="5"/>
        <v>0</v>
      </c>
      <c r="S43" s="11">
        <f t="shared" si="5"/>
        <v>7677</v>
      </c>
      <c r="T43" s="11">
        <f t="shared" si="5"/>
        <v>153073</v>
      </c>
      <c r="U43" s="11">
        <f t="shared" si="5"/>
        <v>0</v>
      </c>
      <c r="V43" s="11">
        <f t="shared" si="5"/>
        <v>7408</v>
      </c>
      <c r="W43" s="11">
        <f t="shared" si="5"/>
        <v>19536</v>
      </c>
      <c r="X43" s="11">
        <f t="shared" si="5"/>
        <v>24801</v>
      </c>
      <c r="Y43" s="11">
        <f t="shared" si="5"/>
        <v>0</v>
      </c>
      <c r="Z43" s="11">
        <f t="shared" si="5"/>
        <v>31960</v>
      </c>
      <c r="AA43" s="11">
        <f t="shared" si="5"/>
        <v>134368</v>
      </c>
      <c r="AB43" s="11">
        <f t="shared" si="5"/>
        <v>8324</v>
      </c>
      <c r="AC43" s="11">
        <f t="shared" si="5"/>
        <v>1011</v>
      </c>
      <c r="AD43" s="11">
        <f t="shared" si="5"/>
        <v>8982</v>
      </c>
      <c r="AE43" s="11">
        <f>SUM(AE41,AE21)</f>
        <v>439</v>
      </c>
      <c r="AF43" s="11">
        <f>SUM(AF41,AF21)</f>
        <v>10444</v>
      </c>
      <c r="AG43" s="12">
        <f t="shared" si="5"/>
        <v>1117436</v>
      </c>
    </row>
    <row r="44" spans="1:33" s="26" customFormat="1" ht="18.75" customHeight="1" thickBot="1" x14ac:dyDescent="0.25">
      <c r="A44" s="711"/>
      <c r="B44" s="320" t="s">
        <v>3</v>
      </c>
      <c r="C44" s="704"/>
      <c r="D44" s="30">
        <f t="shared" ref="D44:AG44" si="6">SUM(D42:D43)</f>
        <v>56954</v>
      </c>
      <c r="E44" s="30">
        <f t="shared" si="6"/>
        <v>60773</v>
      </c>
      <c r="F44" s="30">
        <f t="shared" si="6"/>
        <v>78165</v>
      </c>
      <c r="G44" s="30">
        <f t="shared" si="6"/>
        <v>62929</v>
      </c>
      <c r="H44" s="30">
        <f t="shared" si="6"/>
        <v>85873</v>
      </c>
      <c r="I44" s="30">
        <f t="shared" ref="I44" si="7">SUM(I42:I43)</f>
        <v>37683</v>
      </c>
      <c r="J44" s="30">
        <f t="shared" si="6"/>
        <v>86992</v>
      </c>
      <c r="K44" s="30">
        <f t="shared" si="6"/>
        <v>56704</v>
      </c>
      <c r="L44" s="30">
        <f t="shared" si="6"/>
        <v>51181</v>
      </c>
      <c r="M44" s="30">
        <f t="shared" si="6"/>
        <v>50535</v>
      </c>
      <c r="N44" s="30">
        <f t="shared" si="6"/>
        <v>261975</v>
      </c>
      <c r="O44" s="30">
        <f t="shared" si="6"/>
        <v>66627</v>
      </c>
      <c r="P44" s="30">
        <f t="shared" si="6"/>
        <v>137</v>
      </c>
      <c r="Q44" s="30">
        <f>SUM(Q42:Q43)</f>
        <v>4352</v>
      </c>
      <c r="R44" s="30">
        <f t="shared" ref="R44" si="8">SUM(R42:R43)</f>
        <v>418</v>
      </c>
      <c r="S44" s="30">
        <f>SUM(S42:S43)</f>
        <v>7677</v>
      </c>
      <c r="T44" s="30">
        <f t="shared" si="6"/>
        <v>153073</v>
      </c>
      <c r="U44" s="30">
        <f t="shared" si="6"/>
        <v>12877</v>
      </c>
      <c r="V44" s="30">
        <f t="shared" si="6"/>
        <v>15183</v>
      </c>
      <c r="W44" s="30">
        <f t="shared" si="6"/>
        <v>19536</v>
      </c>
      <c r="X44" s="30">
        <f t="shared" si="6"/>
        <v>24801</v>
      </c>
      <c r="Y44" s="30">
        <f t="shared" ref="Y44" si="9">SUM(Y42:Y43)</f>
        <v>29296</v>
      </c>
      <c r="Z44" s="30">
        <f t="shared" si="6"/>
        <v>31960</v>
      </c>
      <c r="AA44" s="30">
        <f t="shared" si="6"/>
        <v>134368</v>
      </c>
      <c r="AB44" s="30">
        <f t="shared" si="6"/>
        <v>8324</v>
      </c>
      <c r="AC44" s="30">
        <f t="shared" ref="AC44:AF44" si="10">SUM(AC42:AC43)</f>
        <v>1011</v>
      </c>
      <c r="AD44" s="30">
        <f t="shared" si="10"/>
        <v>8982</v>
      </c>
      <c r="AE44" s="30">
        <f t="shared" si="10"/>
        <v>439</v>
      </c>
      <c r="AF44" s="30">
        <f t="shared" si="10"/>
        <v>10444</v>
      </c>
      <c r="AG44" s="80">
        <f t="shared" si="6"/>
        <v>1419269</v>
      </c>
    </row>
    <row r="45" spans="1:33" ht="18.75" customHeight="1" x14ac:dyDescent="0.2">
      <c r="A45" s="707" t="s">
        <v>281</v>
      </c>
      <c r="B45" s="35" t="s">
        <v>301</v>
      </c>
      <c r="C45" s="708" t="s">
        <v>282</v>
      </c>
      <c r="D45" s="58">
        <f>IF(vis!C23&lt;&gt;"",vis!C23,"")</f>
        <v>20735</v>
      </c>
      <c r="E45" s="58">
        <f>IF(vis!D23&lt;&gt;"",vis!D23,"")</f>
        <v>26944</v>
      </c>
      <c r="F45" s="58">
        <f>IF(vis!E23&lt;&gt;"",vis!E23,"")</f>
        <v>47457</v>
      </c>
      <c r="G45" s="58">
        <f>IF(vis!F23&lt;&gt;"",vis!F23,"")</f>
        <v>25544</v>
      </c>
      <c r="H45" s="58"/>
      <c r="I45" s="58"/>
      <c r="J45" s="58">
        <f>IF(vis!G23&lt;&gt;"",vis!G23,"")</f>
        <v>40534</v>
      </c>
      <c r="K45" s="58"/>
      <c r="L45" s="58">
        <f>IF(vis!H23&lt;&gt;"",vis!H23,"")</f>
        <v>30009</v>
      </c>
      <c r="M45" s="58">
        <f>IF(vis!I23&lt;&gt;"",vis!I23,"")</f>
        <v>21686</v>
      </c>
      <c r="N45" s="58"/>
      <c r="O45" s="58">
        <f>IF(vis!J23&lt;&gt;"",vis!J23,"")</f>
        <v>32897</v>
      </c>
      <c r="P45" s="58"/>
      <c r="Q45" s="58"/>
      <c r="R45" s="58" t="str">
        <f>IF(vis!K23&lt;&gt;"",vis!K23,"")</f>
        <v/>
      </c>
      <c r="S45" s="58"/>
      <c r="T45" s="58"/>
      <c r="U45" s="58">
        <f>IF(vis!L23&lt;&gt;"",vis!L23,"")</f>
        <v>12574</v>
      </c>
      <c r="V45" s="58">
        <f>IF(vis!M23&lt;&gt;"",vis!M23,"")</f>
        <v>7121</v>
      </c>
      <c r="W45" s="58"/>
      <c r="X45" s="58"/>
      <c r="Y45" s="58">
        <f>IF(vis!N23&lt;&gt;"",vis!N23,"")</f>
        <v>32216</v>
      </c>
      <c r="Z45" s="58"/>
      <c r="AA45" s="58"/>
      <c r="AB45" s="58"/>
      <c r="AC45" s="58"/>
      <c r="AD45" s="58"/>
      <c r="AE45" s="58"/>
      <c r="AF45" s="58"/>
      <c r="AG45" s="321">
        <f t="shared" ref="AG45:AG58" si="11">SUM(D45:AF45)</f>
        <v>297717</v>
      </c>
    </row>
    <row r="46" spans="1:33" ht="18.75" customHeight="1" x14ac:dyDescent="0.2">
      <c r="A46" s="693"/>
      <c r="B46" s="286" t="s">
        <v>302</v>
      </c>
      <c r="C46" s="695"/>
      <c r="D46" s="19">
        <f>IF(szeg!C23&lt;&gt;"",szeg!C23,"")</f>
        <v>21900</v>
      </c>
      <c r="E46" s="19">
        <f>IF(szeg!D23&lt;&gt;"",szeg!D23,"")</f>
        <v>29206</v>
      </c>
      <c r="F46" s="19">
        <f>IF(szeg!E23&lt;&gt;"",szeg!E23,"")</f>
        <v>42407</v>
      </c>
      <c r="G46" s="19">
        <f>IF(szeg!F23&lt;&gt;"",szeg!F23,"")</f>
        <v>30091</v>
      </c>
      <c r="H46" s="19">
        <f>IF(szeg!G23&lt;&gt;"",szeg!G23,"")</f>
        <v>73573</v>
      </c>
      <c r="I46" s="19">
        <f>IF(szeg!H23&lt;&gt;"",szeg!H23,"")</f>
        <v>34785</v>
      </c>
      <c r="J46" s="19">
        <f>IF(szeg!I23&lt;&gt;"",szeg!I23,"")</f>
        <v>41035</v>
      </c>
      <c r="K46" s="19">
        <f>IF(szeg!J23&lt;&gt;"",szeg!J23,"")</f>
        <v>49188</v>
      </c>
      <c r="L46" s="19">
        <f>IF(szeg!K23&lt;&gt;"",szeg!K23,"")</f>
        <v>34419</v>
      </c>
      <c r="M46" s="19">
        <f>IF(szeg!L23&lt;&gt;"",szeg!L23,"")</f>
        <v>34084</v>
      </c>
      <c r="N46" s="19">
        <f>IF(szeg!M23&lt;&gt;"",szeg!M23,"")</f>
        <v>190481</v>
      </c>
      <c r="O46" s="19">
        <f>IF(szeg!N23&lt;&gt;"",szeg!N23,"")</f>
        <v>23020</v>
      </c>
      <c r="P46" s="19">
        <f>IF(szeg!O23&lt;&gt;"",szeg!O23,"")</f>
        <v>197</v>
      </c>
      <c r="Q46" s="19">
        <f>IF(szeg!P23&lt;&gt;"",szeg!P23,"")</f>
        <v>14383</v>
      </c>
      <c r="R46" s="19"/>
      <c r="S46" s="19">
        <f>IF(szeg!Q23&lt;&gt;"",szeg!Q23,"")</f>
        <v>3905</v>
      </c>
      <c r="T46" s="19">
        <f>IF(szeg!R23&lt;&gt;"",szeg!R23,"")</f>
        <v>60745</v>
      </c>
      <c r="U46" s="19"/>
      <c r="V46" s="19">
        <f>IF(szeg!S23&lt;&gt;"",szeg!S23,"")</f>
        <v>10415</v>
      </c>
      <c r="W46" s="19">
        <f>IF(szeg!T23&lt;&gt;"",szeg!T23,"")</f>
        <v>5865</v>
      </c>
      <c r="X46" s="19">
        <f>IF(szeg!U23&lt;&gt;"",szeg!U23,"")</f>
        <v>20639</v>
      </c>
      <c r="Y46" s="19"/>
      <c r="Z46" s="19">
        <f>IF(szeg!V23&lt;&gt;"",szeg!V23,"")</f>
        <v>16150</v>
      </c>
      <c r="AA46" s="19">
        <f>IF(szeg!W23&lt;&gt;"",szeg!W23,"")</f>
        <v>111420</v>
      </c>
      <c r="AB46" s="19">
        <f>IF(szeg!X23&lt;&gt;"",szeg!X23,"")</f>
        <v>5102</v>
      </c>
      <c r="AC46" s="19">
        <f>IF(szeg!Y23&lt;&gt;"",szeg!Y23,"")</f>
        <v>2350</v>
      </c>
      <c r="AD46" s="19">
        <f>IF(szeg!Z23&lt;&gt;"",szeg!Z23,"")</f>
        <v>58517</v>
      </c>
      <c r="AE46" s="19" t="str">
        <f>IF(szeg!AA23&lt;&gt;"",szeg!AA23,"")</f>
        <v/>
      </c>
      <c r="AF46" s="19">
        <f>IF(szeg!AB23&lt;&gt;"",szeg!AB23,"")</f>
        <v>535</v>
      </c>
      <c r="AG46" s="12">
        <f t="shared" si="11"/>
        <v>914412</v>
      </c>
    </row>
    <row r="47" spans="1:33" ht="18.75" customHeight="1" x14ac:dyDescent="0.2">
      <c r="A47" s="709" t="s">
        <v>283</v>
      </c>
      <c r="B47" s="286" t="s">
        <v>301</v>
      </c>
      <c r="C47" s="694">
        <v>9117</v>
      </c>
      <c r="D47" s="19">
        <f>IF(vis!C24&lt;&gt;"",vis!C24,"")</f>
        <v>20524</v>
      </c>
      <c r="E47" s="19">
        <f>IF(vis!D24&lt;&gt;"",vis!D24,"")</f>
        <v>26812</v>
      </c>
      <c r="F47" s="19">
        <f>IF(vis!E24&lt;&gt;"",vis!E24,"")</f>
        <v>47370</v>
      </c>
      <c r="G47" s="19">
        <f>IF(vis!F24&lt;&gt;"",vis!F24,"")</f>
        <v>25479</v>
      </c>
      <c r="H47" s="19"/>
      <c r="I47" s="19"/>
      <c r="J47" s="19">
        <f>IF(vis!G24&lt;&gt;"",vis!G24,"")</f>
        <v>39728</v>
      </c>
      <c r="K47" s="19"/>
      <c r="L47" s="19">
        <f>IF(vis!H24&lt;&gt;"",vis!H24,"")</f>
        <v>29935</v>
      </c>
      <c r="M47" s="19">
        <f>IF(vis!I24&lt;&gt;"",vis!I24,"")</f>
        <v>21647</v>
      </c>
      <c r="N47" s="19"/>
      <c r="O47" s="19">
        <f>IF(vis!J24&lt;&gt;"",vis!J24,"")</f>
        <v>32697</v>
      </c>
      <c r="P47" s="19"/>
      <c r="Q47" s="19"/>
      <c r="R47" s="19" t="str">
        <f>IF(vis!K24&lt;&gt;"",vis!K24,"")</f>
        <v/>
      </c>
      <c r="S47" s="19"/>
      <c r="T47" s="19"/>
      <c r="U47" s="19">
        <f>IF(vis!L24&lt;&gt;"",vis!L24,"")</f>
        <v>12433</v>
      </c>
      <c r="V47" s="19">
        <f>IF(vis!M24&lt;&gt;"",vis!M24,"")</f>
        <v>7109</v>
      </c>
      <c r="W47" s="19"/>
      <c r="X47" s="19"/>
      <c r="Y47" s="19">
        <f>IF(vis!N24&lt;&gt;"",vis!N24,"")</f>
        <v>30268</v>
      </c>
      <c r="Z47" s="19"/>
      <c r="AA47" s="19"/>
      <c r="AB47" s="19"/>
      <c r="AC47" s="19"/>
      <c r="AD47" s="19"/>
      <c r="AE47" s="19"/>
      <c r="AF47" s="19"/>
      <c r="AG47" s="12">
        <f t="shared" si="11"/>
        <v>294002</v>
      </c>
    </row>
    <row r="48" spans="1:33" ht="18.75" customHeight="1" x14ac:dyDescent="0.2">
      <c r="A48" s="710"/>
      <c r="B48" s="286" t="s">
        <v>302</v>
      </c>
      <c r="C48" s="695"/>
      <c r="D48" s="19">
        <f>IF(szeg!C24&lt;&gt;"",szeg!C24,"")</f>
        <v>21498</v>
      </c>
      <c r="E48" s="19">
        <f>IF(szeg!D24&lt;&gt;"",szeg!D24,"")</f>
        <v>28447</v>
      </c>
      <c r="F48" s="19">
        <f>IF(szeg!E24&lt;&gt;"",szeg!E24,"")</f>
        <v>42188</v>
      </c>
      <c r="G48" s="19">
        <f>IF(szeg!F24&lt;&gt;"",szeg!F24,"")</f>
        <v>29461</v>
      </c>
      <c r="H48" s="19">
        <f>IF(szeg!G24&lt;&gt;"",szeg!G24,"")</f>
        <v>73255</v>
      </c>
      <c r="I48" s="19">
        <f>IF(szeg!H24&lt;&gt;"",szeg!H24,"")</f>
        <v>34562</v>
      </c>
      <c r="J48" s="19">
        <f>IF(szeg!I24&lt;&gt;"",szeg!I24,"")</f>
        <v>39516</v>
      </c>
      <c r="K48" s="19">
        <f>IF(szeg!J24&lt;&gt;"",szeg!J24,"")</f>
        <v>48772</v>
      </c>
      <c r="L48" s="19">
        <f>IF(szeg!K24&lt;&gt;"",szeg!K24,"")</f>
        <v>34378</v>
      </c>
      <c r="M48" s="19">
        <f>IF(szeg!L24&lt;&gt;"",szeg!L24,"")</f>
        <v>34024</v>
      </c>
      <c r="N48" s="19">
        <f>IF(szeg!M24&lt;&gt;"",szeg!M24,"")</f>
        <v>189540</v>
      </c>
      <c r="O48" s="19">
        <f>IF(szeg!N24&lt;&gt;"",szeg!N24,"")</f>
        <v>22885</v>
      </c>
      <c r="P48" s="19" t="str">
        <f>IF(szeg!O24&lt;&gt;"",szeg!O24,"")</f>
        <v/>
      </c>
      <c r="Q48" s="19">
        <f>IF(szeg!P24&lt;&gt;"",szeg!P24,"")</f>
        <v>14376</v>
      </c>
      <c r="R48" s="19"/>
      <c r="S48" s="19">
        <f>IF(szeg!Q24&lt;&gt;"",szeg!Q24,"")</f>
        <v>3887</v>
      </c>
      <c r="T48" s="19">
        <f>IF(szeg!R24&lt;&gt;"",szeg!R24,"")</f>
        <v>53886</v>
      </c>
      <c r="U48" s="19"/>
      <c r="V48" s="19">
        <f>IF(szeg!S24&lt;&gt;"",szeg!S24,"")</f>
        <v>10402</v>
      </c>
      <c r="W48" s="19">
        <f>IF(szeg!T24&lt;&gt;"",szeg!T24,"")</f>
        <v>5631</v>
      </c>
      <c r="X48" s="19">
        <f>IF(szeg!U24&lt;&gt;"",szeg!U24,"")</f>
        <v>20492</v>
      </c>
      <c r="Y48" s="19"/>
      <c r="Z48" s="19">
        <f>IF(szeg!V24&lt;&gt;"",szeg!V24,"")</f>
        <v>15825</v>
      </c>
      <c r="AA48" s="19">
        <f>IF(szeg!W24&lt;&gt;"",szeg!W24,"")</f>
        <v>109490</v>
      </c>
      <c r="AB48" s="19">
        <f>IF(szeg!X24&lt;&gt;"",szeg!X24,"")</f>
        <v>4976</v>
      </c>
      <c r="AC48" s="19">
        <f>IF(szeg!Y24&lt;&gt;"",szeg!Y24,"")</f>
        <v>2349</v>
      </c>
      <c r="AD48" s="19">
        <f>IF(szeg!Z24&lt;&gt;"",szeg!Z24,"")</f>
        <v>54361</v>
      </c>
      <c r="AE48" s="19" t="str">
        <f>IF(szeg!AA24&lt;&gt;"",szeg!AA24,"")</f>
        <v/>
      </c>
      <c r="AF48" s="19">
        <f>IF(szeg!AB24&lt;&gt;"",szeg!AB24,"")</f>
        <v>498</v>
      </c>
      <c r="AG48" s="12">
        <f t="shared" si="11"/>
        <v>894699</v>
      </c>
    </row>
    <row r="49" spans="1:33" ht="18.75" customHeight="1" x14ac:dyDescent="0.2">
      <c r="A49" s="692" t="s">
        <v>284</v>
      </c>
      <c r="B49" s="286" t="s">
        <v>301</v>
      </c>
      <c r="C49" s="694" t="s">
        <v>285</v>
      </c>
      <c r="D49" s="19">
        <f>IF(vis!C25&lt;&gt;"",vis!C25,"")</f>
        <v>211</v>
      </c>
      <c r="E49" s="19">
        <f>IF(vis!D25&lt;&gt;"",vis!D25,"")</f>
        <v>132</v>
      </c>
      <c r="F49" s="19">
        <f>IF(vis!E25&lt;&gt;"",vis!E25,"")</f>
        <v>87</v>
      </c>
      <c r="G49" s="19">
        <f>IF(vis!F25&lt;&gt;"",vis!F25,"")</f>
        <v>65</v>
      </c>
      <c r="H49" s="19"/>
      <c r="I49" s="19"/>
      <c r="J49" s="19">
        <f>IF(vis!G25&lt;&gt;"",vis!G25,"")</f>
        <v>806</v>
      </c>
      <c r="K49" s="19"/>
      <c r="L49" s="19">
        <f>IF(vis!H25&lt;&gt;"",vis!H25,"")</f>
        <v>74</v>
      </c>
      <c r="M49" s="19">
        <f>IF(vis!I25&lt;&gt;"",vis!I25,"")</f>
        <v>39</v>
      </c>
      <c r="N49" s="19"/>
      <c r="O49" s="19">
        <f>IF(vis!J25&lt;&gt;"",vis!J25,"")</f>
        <v>200</v>
      </c>
      <c r="P49" s="19"/>
      <c r="Q49" s="19"/>
      <c r="R49" s="19">
        <f>IF(vis!K25&lt;&gt;"",vis!K25,"")</f>
        <v>0</v>
      </c>
      <c r="S49" s="19"/>
      <c r="T49" s="19"/>
      <c r="U49" s="19">
        <f>IF(vis!L25&lt;&gt;"",vis!L25,"")</f>
        <v>141</v>
      </c>
      <c r="V49" s="19">
        <f>IF(vis!M25&lt;&gt;"",vis!M25,"")</f>
        <v>12</v>
      </c>
      <c r="W49" s="19"/>
      <c r="X49" s="19"/>
      <c r="Y49" s="19">
        <f>IF(vis!N25&lt;&gt;"",vis!N25,"")</f>
        <v>1948</v>
      </c>
      <c r="Z49" s="19"/>
      <c r="AA49" s="19"/>
      <c r="AB49" s="19"/>
      <c r="AC49" s="19"/>
      <c r="AD49" s="19"/>
      <c r="AE49" s="19"/>
      <c r="AF49" s="19"/>
      <c r="AG49" s="12">
        <f t="shared" si="11"/>
        <v>3715</v>
      </c>
    </row>
    <row r="50" spans="1:33" ht="18.75" customHeight="1" x14ac:dyDescent="0.2">
      <c r="A50" s="693"/>
      <c r="B50" s="286" t="s">
        <v>302</v>
      </c>
      <c r="C50" s="695"/>
      <c r="D50" s="19">
        <f>IF(szeg!C25&lt;&gt;"",szeg!C25,"")</f>
        <v>402</v>
      </c>
      <c r="E50" s="19">
        <f>IF(szeg!D25&lt;&gt;"",szeg!D25,"")</f>
        <v>759</v>
      </c>
      <c r="F50" s="19">
        <f>IF(szeg!E25&lt;&gt;"",szeg!E25,"")</f>
        <v>219</v>
      </c>
      <c r="G50" s="19">
        <f>IF(szeg!F25&lt;&gt;"",szeg!F25,"")</f>
        <v>630</v>
      </c>
      <c r="H50" s="19">
        <f>IF(szeg!G25&lt;&gt;"",szeg!G25,"")</f>
        <v>318</v>
      </c>
      <c r="I50" s="19">
        <f>IF(szeg!H25&lt;&gt;"",szeg!H25,"")</f>
        <v>223</v>
      </c>
      <c r="J50" s="19">
        <f>IF(szeg!I25&lt;&gt;"",szeg!I25,"")</f>
        <v>1519</v>
      </c>
      <c r="K50" s="19">
        <f>IF(szeg!J25&lt;&gt;"",szeg!J25,"")</f>
        <v>416</v>
      </c>
      <c r="L50" s="19">
        <f>IF(szeg!K25&lt;&gt;"",szeg!K25,"")</f>
        <v>41</v>
      </c>
      <c r="M50" s="19">
        <f>IF(szeg!L25&lt;&gt;"",szeg!L25,"")</f>
        <v>60</v>
      </c>
      <c r="N50" s="19">
        <f>IF(szeg!M25&lt;&gt;"",szeg!M25,"")</f>
        <v>941</v>
      </c>
      <c r="O50" s="19">
        <f>IF(szeg!N25&lt;&gt;"",szeg!N25,"")</f>
        <v>135</v>
      </c>
      <c r="P50" s="19">
        <f>IF(szeg!O25&lt;&gt;"",szeg!O25,"")</f>
        <v>197</v>
      </c>
      <c r="Q50" s="19">
        <f>IF(szeg!P25&lt;&gt;"",szeg!P25,"")</f>
        <v>7</v>
      </c>
      <c r="R50" s="19"/>
      <c r="S50" s="19">
        <f>IF(szeg!Q25&lt;&gt;"",szeg!Q25,"")</f>
        <v>18</v>
      </c>
      <c r="T50" s="19">
        <f>IF(szeg!R25&lt;&gt;"",szeg!R25,"")</f>
        <v>6859</v>
      </c>
      <c r="U50" s="19"/>
      <c r="V50" s="19">
        <f>IF(szeg!S25&lt;&gt;"",szeg!S25,"")</f>
        <v>13</v>
      </c>
      <c r="W50" s="19">
        <f>IF(szeg!T25&lt;&gt;"",szeg!T25,"")</f>
        <v>234</v>
      </c>
      <c r="X50" s="19">
        <f>IF(szeg!U25&lt;&gt;"",szeg!U25,"")</f>
        <v>147</v>
      </c>
      <c r="Y50" s="19"/>
      <c r="Z50" s="19">
        <f>IF(szeg!V25&lt;&gt;"",szeg!V25,"")</f>
        <v>325</v>
      </c>
      <c r="AA50" s="19">
        <f>IF(szeg!W25&lt;&gt;"",szeg!W25,"")</f>
        <v>1930</v>
      </c>
      <c r="AB50" s="19">
        <f>IF(szeg!X25&lt;&gt;"",szeg!X25,"")</f>
        <v>126</v>
      </c>
      <c r="AC50" s="19">
        <f>IF(szeg!Y25&lt;&gt;"",szeg!Y25,"")</f>
        <v>1</v>
      </c>
      <c r="AD50" s="19">
        <f>IF(szeg!Z25&lt;&gt;"",szeg!Z25,"")</f>
        <v>4156</v>
      </c>
      <c r="AE50" s="19">
        <f>IF(szeg!AA25&lt;&gt;"",szeg!AA25,"")</f>
        <v>0</v>
      </c>
      <c r="AF50" s="19">
        <f>IF(szeg!AB25&lt;&gt;"",szeg!AB25,"")</f>
        <v>37</v>
      </c>
      <c r="AG50" s="12">
        <f t="shared" si="11"/>
        <v>19713</v>
      </c>
    </row>
    <row r="51" spans="1:33" ht="18.75" customHeight="1" x14ac:dyDescent="0.2">
      <c r="A51" s="692" t="s">
        <v>286</v>
      </c>
      <c r="B51" s="286" t="s">
        <v>301</v>
      </c>
      <c r="C51" s="694" t="s">
        <v>287</v>
      </c>
      <c r="D51" s="19">
        <f>IF(vis!C26&lt;&gt;"",vis!C26,"")</f>
        <v>2111</v>
      </c>
      <c r="E51" s="19">
        <f>IF(vis!D26&lt;&gt;"",vis!D26,"")</f>
        <v>2417</v>
      </c>
      <c r="F51" s="19">
        <f>IF(vis!E26&lt;&gt;"",vis!E26,"")</f>
        <v>2974</v>
      </c>
      <c r="G51" s="19">
        <f>IF(vis!F26&lt;&gt;"",vis!F26,"")</f>
        <v>2338</v>
      </c>
      <c r="H51" s="19"/>
      <c r="I51" s="19"/>
      <c r="J51" s="19">
        <f>IF(vis!G26&lt;&gt;"",vis!G26,"")</f>
        <v>3259</v>
      </c>
      <c r="K51" s="19"/>
      <c r="L51" s="19">
        <f>IF(vis!H26&lt;&gt;"",vis!H26,"")</f>
        <v>2254</v>
      </c>
      <c r="M51" s="19">
        <f>IF(vis!I26&lt;&gt;"",vis!I26,"")</f>
        <v>1955</v>
      </c>
      <c r="N51" s="19"/>
      <c r="O51" s="19">
        <f>IF(vis!J26&lt;&gt;"",vis!J26,"")</f>
        <v>2674</v>
      </c>
      <c r="P51" s="19"/>
      <c r="Q51" s="19"/>
      <c r="R51" s="19" t="str">
        <f>IF(vis!K26&lt;&gt;"",vis!K26,"")</f>
        <v/>
      </c>
      <c r="S51" s="19"/>
      <c r="T51" s="19"/>
      <c r="U51" s="19">
        <f>IF(vis!L26&lt;&gt;"",vis!L26,"")</f>
        <v>1024</v>
      </c>
      <c r="V51" s="19">
        <f>IF(vis!M26&lt;&gt;"",vis!M26,"")</f>
        <v>617</v>
      </c>
      <c r="W51" s="19"/>
      <c r="X51" s="19"/>
      <c r="Y51" s="19">
        <f>IF(vis!N26&lt;&gt;"",vis!N26,"")</f>
        <v>2320</v>
      </c>
      <c r="Z51" s="19"/>
      <c r="AA51" s="19"/>
      <c r="AB51" s="19"/>
      <c r="AC51" s="19"/>
      <c r="AD51" s="19"/>
      <c r="AE51" s="19"/>
      <c r="AF51" s="19"/>
      <c r="AG51" s="12">
        <f t="shared" si="11"/>
        <v>23943</v>
      </c>
    </row>
    <row r="52" spans="1:33" ht="18.75" customHeight="1" x14ac:dyDescent="0.2">
      <c r="A52" s="693"/>
      <c r="B52" s="286" t="s">
        <v>302</v>
      </c>
      <c r="C52" s="695"/>
      <c r="D52" s="19">
        <f>IF(szeg!C26&lt;&gt;"",szeg!C26,"")</f>
        <v>2311</v>
      </c>
      <c r="E52" s="19">
        <f>IF(szeg!D26&lt;&gt;"",szeg!D26,"")</f>
        <v>2361</v>
      </c>
      <c r="F52" s="19">
        <f>IF(szeg!E26&lt;&gt;"",szeg!E26,"")</f>
        <v>3204</v>
      </c>
      <c r="G52" s="19">
        <f>IF(szeg!F26&lt;&gt;"",szeg!F26,"")</f>
        <v>2587</v>
      </c>
      <c r="H52" s="19">
        <f>IF(szeg!G26&lt;&gt;"",szeg!G26,"")</f>
        <v>6862</v>
      </c>
      <c r="I52" s="19">
        <f>IF(szeg!H26&lt;&gt;"",szeg!H26,"")</f>
        <v>3062</v>
      </c>
      <c r="J52" s="19">
        <f>IF(szeg!I26&lt;&gt;"",szeg!I26,"")</f>
        <v>3655</v>
      </c>
      <c r="K52" s="19">
        <f>IF(szeg!J26&lt;&gt;"",szeg!J26,"")</f>
        <v>4504</v>
      </c>
      <c r="L52" s="19">
        <f>IF(szeg!K26&lt;&gt;"",szeg!K26,"")</f>
        <v>1902</v>
      </c>
      <c r="M52" s="19">
        <f>IF(szeg!L26&lt;&gt;"",szeg!L26,"")</f>
        <v>2090</v>
      </c>
      <c r="N52" s="19">
        <f>IF(szeg!M26&lt;&gt;"",szeg!M26,"")</f>
        <v>21688</v>
      </c>
      <c r="O52" s="19">
        <f>IF(szeg!N26&lt;&gt;"",szeg!N26,"")</f>
        <v>2712</v>
      </c>
      <c r="P52" s="19">
        <f>IF(szeg!O26&lt;&gt;"",szeg!O26,"")</f>
        <v>12</v>
      </c>
      <c r="Q52" s="19">
        <f>IF(szeg!P26&lt;&gt;"",szeg!P26,"")</f>
        <v>353</v>
      </c>
      <c r="R52" s="19"/>
      <c r="S52" s="19">
        <f>IF(szeg!Q26&lt;&gt;"",szeg!Q26,"")</f>
        <v>641</v>
      </c>
      <c r="T52" s="19">
        <f>IF(szeg!R26&lt;&gt;"",szeg!R26,"")</f>
        <v>12204</v>
      </c>
      <c r="U52" s="19"/>
      <c r="V52" s="19">
        <f>IF(szeg!S26&lt;&gt;"",szeg!S26,"")</f>
        <v>602</v>
      </c>
      <c r="W52" s="19">
        <f>IF(szeg!T26&lt;&gt;"",szeg!T26,"")</f>
        <v>1549</v>
      </c>
      <c r="X52" s="19">
        <f>IF(szeg!U26&lt;&gt;"",szeg!U26,"")</f>
        <v>1940</v>
      </c>
      <c r="Y52" s="19"/>
      <c r="Z52" s="19">
        <f>IF(szeg!V26&lt;&gt;"",szeg!V26,"")</f>
        <v>2561</v>
      </c>
      <c r="AA52" s="19">
        <f>IF(szeg!W26&lt;&gt;"",szeg!W26,"")</f>
        <v>10797</v>
      </c>
      <c r="AB52" s="19">
        <f>IF(szeg!X26&lt;&gt;"",szeg!X26,"")</f>
        <v>677</v>
      </c>
      <c r="AC52" s="19">
        <f>IF(szeg!Y26&lt;&gt;"",szeg!Y26,"")</f>
        <v>83</v>
      </c>
      <c r="AD52" s="19">
        <f>IF(szeg!Z26&lt;&gt;"",szeg!Z26,"")</f>
        <v>732</v>
      </c>
      <c r="AE52" s="19">
        <f>IF(szeg!AA26&lt;&gt;"",szeg!AA26,"")</f>
        <v>0</v>
      </c>
      <c r="AF52" s="19">
        <f>IF(szeg!AB26&lt;&gt;"",szeg!AB26,"")</f>
        <v>904</v>
      </c>
      <c r="AG52" s="12">
        <f t="shared" si="11"/>
        <v>89993</v>
      </c>
    </row>
    <row r="53" spans="1:33" ht="18.75" customHeight="1" x14ac:dyDescent="0.2">
      <c r="A53" s="705" t="s">
        <v>288</v>
      </c>
      <c r="B53" s="286" t="s">
        <v>301</v>
      </c>
      <c r="C53" s="694">
        <v>9635</v>
      </c>
      <c r="D53" s="19">
        <f>IF(vis!C27&lt;&gt;"",vis!C27,"")</f>
        <v>2094</v>
      </c>
      <c r="E53" s="19">
        <f>IF(vis!D27&lt;&gt;"",vis!D27,"")</f>
        <v>2398</v>
      </c>
      <c r="F53" s="19">
        <f>IF(vis!E27&lt;&gt;"",vis!E27,"")</f>
        <v>2936</v>
      </c>
      <c r="G53" s="19">
        <f>IF(vis!F27&lt;&gt;"",vis!F27,"")</f>
        <v>2318</v>
      </c>
      <c r="H53" s="19"/>
      <c r="I53" s="19"/>
      <c r="J53" s="19">
        <f>IF(vis!G27&lt;&gt;"",vis!G27,"")</f>
        <v>3231</v>
      </c>
      <c r="K53" s="19"/>
      <c r="L53" s="19">
        <f>IF(vis!H27&lt;&gt;"",vis!H27,"")</f>
        <v>2234</v>
      </c>
      <c r="M53" s="19">
        <f>IF(vis!I27&lt;&gt;"",vis!I27,"")</f>
        <v>1939</v>
      </c>
      <c r="N53" s="19"/>
      <c r="O53" s="19">
        <f>IF(vis!J27&lt;&gt;"",vis!J27,"")</f>
        <v>2652</v>
      </c>
      <c r="P53" s="19"/>
      <c r="Q53" s="19"/>
      <c r="R53" s="19" t="str">
        <f>IF(vis!K27&lt;&gt;"",vis!K27,"")</f>
        <v/>
      </c>
      <c r="S53" s="19"/>
      <c r="T53" s="19"/>
      <c r="U53" s="19">
        <f>IF(vis!L27&lt;&gt;"",vis!L27,"")</f>
        <v>1015</v>
      </c>
      <c r="V53" s="19">
        <f>IF(vis!M27&lt;&gt;"",vis!M27,"")</f>
        <v>612</v>
      </c>
      <c r="W53" s="19"/>
      <c r="X53" s="19"/>
      <c r="Y53" s="19">
        <f>IF(vis!N27&lt;&gt;"",vis!N27,"")</f>
        <v>2300</v>
      </c>
      <c r="Z53" s="19"/>
      <c r="AA53" s="19"/>
      <c r="AB53" s="19"/>
      <c r="AC53" s="19"/>
      <c r="AD53" s="19"/>
      <c r="AE53" s="19"/>
      <c r="AF53" s="19"/>
      <c r="AG53" s="12">
        <f>SUM(D53:AF53)</f>
        <v>23729</v>
      </c>
    </row>
    <row r="54" spans="1:33" ht="18.75" customHeight="1" x14ac:dyDescent="0.2">
      <c r="A54" s="706"/>
      <c r="B54" s="286" t="s">
        <v>302</v>
      </c>
      <c r="C54" s="695"/>
      <c r="D54" s="19">
        <f>IF(szeg!C27&lt;&gt;"",szeg!C27,"")</f>
        <v>2292</v>
      </c>
      <c r="E54" s="19">
        <f>IF(szeg!D27&lt;&gt;"",szeg!D27,"")</f>
        <v>2342</v>
      </c>
      <c r="F54" s="19">
        <f>IF(szeg!E27&lt;&gt;"",szeg!E27,"")</f>
        <v>3142</v>
      </c>
      <c r="G54" s="19">
        <f>IF(szeg!F27&lt;&gt;"",szeg!F27,"")</f>
        <v>2566</v>
      </c>
      <c r="H54" s="19">
        <f>IF(szeg!G27&lt;&gt;"",szeg!G27,"")</f>
        <v>6803</v>
      </c>
      <c r="I54" s="19">
        <f>IF(szeg!H27&lt;&gt;"",szeg!H27,"")</f>
        <v>3018</v>
      </c>
      <c r="J54" s="19">
        <f>IF(szeg!I27&lt;&gt;"",szeg!I27,"")</f>
        <v>3625</v>
      </c>
      <c r="K54" s="19">
        <f>IF(szeg!J27&lt;&gt;"",szeg!J27,"")</f>
        <v>4464</v>
      </c>
      <c r="L54" s="19">
        <f>IF(szeg!K27&lt;&gt;"",szeg!K27,"")</f>
        <v>1886</v>
      </c>
      <c r="M54" s="19">
        <f>IF(szeg!L27&lt;&gt;"",szeg!L27,"")</f>
        <v>2073</v>
      </c>
      <c r="N54" s="19">
        <f>IF(szeg!M27&lt;&gt;"",szeg!M27,"")</f>
        <v>21509</v>
      </c>
      <c r="O54" s="19">
        <f>IF(szeg!N27&lt;&gt;"",szeg!N27,"")</f>
        <v>2679</v>
      </c>
      <c r="P54" s="19">
        <f>IF(szeg!O27&lt;&gt;"",szeg!O27,"")</f>
        <v>12</v>
      </c>
      <c r="Q54" s="19">
        <f>IF(szeg!P27&lt;&gt;"",szeg!P27,"")</f>
        <v>351</v>
      </c>
      <c r="R54" s="19"/>
      <c r="S54" s="19">
        <f>IF(szeg!Q27&lt;&gt;"",szeg!Q27,"")</f>
        <v>635</v>
      </c>
      <c r="T54" s="19">
        <f>IF(szeg!R27&lt;&gt;"",szeg!R27,"")</f>
        <v>12093</v>
      </c>
      <c r="U54" s="19"/>
      <c r="V54" s="19">
        <f>IF(szeg!S27&lt;&gt;"",szeg!S27,"")</f>
        <v>596</v>
      </c>
      <c r="W54" s="19">
        <f>IF(szeg!T27&lt;&gt;"",szeg!T27,"")</f>
        <v>1536</v>
      </c>
      <c r="X54" s="19">
        <f>IF(szeg!U27&lt;&gt;"",szeg!U27,"")</f>
        <v>1923</v>
      </c>
      <c r="Y54" s="19"/>
      <c r="Z54" s="19">
        <f>IF(szeg!V27&lt;&gt;"",szeg!V27,"")</f>
        <v>2488</v>
      </c>
      <c r="AA54" s="19">
        <f>IF(szeg!W27&lt;&gt;"",szeg!W27,"")</f>
        <v>10705</v>
      </c>
      <c r="AB54" s="19">
        <f>IF(szeg!X27&lt;&gt;"",szeg!X27,"")</f>
        <v>671</v>
      </c>
      <c r="AC54" s="19">
        <f>IF(szeg!Y27&lt;&gt;"",szeg!Y27,"")</f>
        <v>82</v>
      </c>
      <c r="AD54" s="19">
        <f>IF(szeg!Z27&lt;&gt;"",szeg!Z27,"")</f>
        <v>726</v>
      </c>
      <c r="AE54" s="19" t="str">
        <f>IF(szeg!AA27&lt;&gt;"",szeg!AA27,"")</f>
        <v/>
      </c>
      <c r="AF54" s="19">
        <f>IF(szeg!AB27&lt;&gt;"",szeg!AB27,"")</f>
        <v>883</v>
      </c>
      <c r="AG54" s="12">
        <f>SUM(D54:AF54)</f>
        <v>89100</v>
      </c>
    </row>
    <row r="55" spans="1:33" ht="18.75" customHeight="1" x14ac:dyDescent="0.2">
      <c r="A55" s="692" t="s">
        <v>289</v>
      </c>
      <c r="B55" s="286" t="s">
        <v>301</v>
      </c>
      <c r="C55" s="694">
        <v>97</v>
      </c>
      <c r="D55" s="19">
        <f>IF(vis!C28&lt;&gt;"",vis!C28,"")</f>
        <v>1</v>
      </c>
      <c r="E55" s="19">
        <f>IF(vis!D28&lt;&gt;"",vis!D28,"")</f>
        <v>2</v>
      </c>
      <c r="F55" s="19">
        <f>IF(vis!E28&lt;&gt;"",vis!E28,"")</f>
        <v>2</v>
      </c>
      <c r="G55" s="19">
        <f>IF(vis!F28&lt;&gt;"",vis!F28,"")</f>
        <v>1</v>
      </c>
      <c r="H55" s="19"/>
      <c r="I55" s="19"/>
      <c r="J55" s="19">
        <f>IF(vis!G28&lt;&gt;"",vis!G28,"")</f>
        <v>2</v>
      </c>
      <c r="K55" s="19"/>
      <c r="L55" s="19">
        <f>IF(vis!H28&lt;&gt;"",vis!H28,"")</f>
        <v>1</v>
      </c>
      <c r="M55" s="19">
        <f>IF(vis!I28&lt;&gt;"",vis!I28,"")</f>
        <v>1</v>
      </c>
      <c r="N55" s="19"/>
      <c r="O55" s="19">
        <f>IF(vis!J28&lt;&gt;"",vis!J28,"")</f>
        <v>2</v>
      </c>
      <c r="P55" s="19"/>
      <c r="Q55" s="19"/>
      <c r="R55" s="19" t="str">
        <f>IF(vis!K28&lt;&gt;"",vis!K28,"")</f>
        <v/>
      </c>
      <c r="S55" s="19"/>
      <c r="T55" s="19"/>
      <c r="U55" s="19">
        <f>IF(vis!L28&lt;&gt;"",vis!L28,"")</f>
        <v>1</v>
      </c>
      <c r="V55" s="19" t="str">
        <f>IF(vis!M28&lt;&gt;"",vis!M28,"")</f>
        <v/>
      </c>
      <c r="W55" s="19"/>
      <c r="X55" s="19"/>
      <c r="Y55" s="19">
        <f>IF(vis!N28&lt;&gt;"",vis!N28,"")</f>
        <v>2</v>
      </c>
      <c r="Z55" s="19"/>
      <c r="AA55" s="19"/>
      <c r="AB55" s="19"/>
      <c r="AC55" s="19"/>
      <c r="AD55" s="19"/>
      <c r="AE55" s="19"/>
      <c r="AF55" s="19"/>
      <c r="AG55" s="12">
        <f t="shared" si="11"/>
        <v>15</v>
      </c>
    </row>
    <row r="56" spans="1:33" ht="18.75" customHeight="1" x14ac:dyDescent="0.2">
      <c r="A56" s="693"/>
      <c r="B56" s="286" t="s">
        <v>302</v>
      </c>
      <c r="C56" s="695"/>
      <c r="D56" s="19">
        <f>IF(szeg!C28&lt;&gt;"",szeg!C28,"")</f>
        <v>1</v>
      </c>
      <c r="E56" s="19">
        <f>IF(szeg!D28&lt;&gt;"",szeg!D28,"")</f>
        <v>1</v>
      </c>
      <c r="F56" s="19">
        <f>IF(szeg!E28&lt;&gt;"",szeg!E28,"")</f>
        <v>2</v>
      </c>
      <c r="G56" s="19">
        <f>IF(szeg!F28&lt;&gt;"",szeg!F28,"")</f>
        <v>2</v>
      </c>
      <c r="H56" s="19">
        <f>IF(szeg!G28&lt;&gt;"",szeg!G28,"")</f>
        <v>4</v>
      </c>
      <c r="I56" s="19">
        <f>IF(szeg!H28&lt;&gt;"",szeg!H28,"")</f>
        <v>2</v>
      </c>
      <c r="J56" s="19">
        <f>IF(szeg!I28&lt;&gt;"",szeg!I28,"")</f>
        <v>2</v>
      </c>
      <c r="K56" s="19">
        <f>IF(szeg!J28&lt;&gt;"",szeg!J28,"")</f>
        <v>3</v>
      </c>
      <c r="L56" s="19">
        <f>IF(szeg!K28&lt;&gt;"",szeg!K28,"")</f>
        <v>1</v>
      </c>
      <c r="M56" s="19">
        <f>IF(szeg!L28&lt;&gt;"",szeg!L28,"")</f>
        <v>1</v>
      </c>
      <c r="N56" s="19">
        <f>IF(szeg!M28&lt;&gt;"",szeg!M28,"")</f>
        <v>13</v>
      </c>
      <c r="O56" s="19">
        <f>IF(szeg!N28&lt;&gt;"",szeg!N28,"")</f>
        <v>1</v>
      </c>
      <c r="P56" s="19" t="str">
        <f>IF(szeg!O28&lt;&gt;"",szeg!O28,"")</f>
        <v/>
      </c>
      <c r="Q56" s="19" t="str">
        <f>IF(szeg!P28&lt;&gt;"",szeg!P28,"")</f>
        <v/>
      </c>
      <c r="R56" s="19"/>
      <c r="S56" s="19" t="str">
        <f>IF(szeg!Q28&lt;&gt;"",szeg!Q28,"")</f>
        <v/>
      </c>
      <c r="T56" s="19">
        <f>IF(szeg!R28&lt;&gt;"",szeg!R28,"")</f>
        <v>8</v>
      </c>
      <c r="U56" s="19"/>
      <c r="V56" s="19" t="str">
        <f>IF(szeg!S28&lt;&gt;"",szeg!S28,"")</f>
        <v/>
      </c>
      <c r="W56" s="19">
        <f>IF(szeg!T28&lt;&gt;"",szeg!T28,"")</f>
        <v>1</v>
      </c>
      <c r="X56" s="19">
        <f>IF(szeg!U28&lt;&gt;"",szeg!U28,"")</f>
        <v>1</v>
      </c>
      <c r="Y56" s="19"/>
      <c r="Z56" s="19">
        <f>IF(szeg!V28&lt;&gt;"",szeg!V28,"")</f>
        <v>2</v>
      </c>
      <c r="AA56" s="19">
        <f>IF(szeg!W28&lt;&gt;"",szeg!W28,"")</f>
        <v>7</v>
      </c>
      <c r="AB56" s="19" t="str">
        <f>IF(szeg!X28&lt;&gt;"",szeg!X28,"")</f>
        <v/>
      </c>
      <c r="AC56" s="19" t="str">
        <f>IF(szeg!Y28&lt;&gt;"",szeg!Y28,"")</f>
        <v/>
      </c>
      <c r="AD56" s="19">
        <f>IF(szeg!Z28&lt;&gt;"",szeg!Z28,"")</f>
        <v>1</v>
      </c>
      <c r="AE56" s="19" t="str">
        <f>IF(szeg!AA28&lt;&gt;"",szeg!AA28,"")</f>
        <v/>
      </c>
      <c r="AF56" s="19">
        <f>IF(szeg!AB28&lt;&gt;"",szeg!AB28,"")</f>
        <v>1</v>
      </c>
      <c r="AG56" s="12">
        <f t="shared" si="11"/>
        <v>54</v>
      </c>
    </row>
    <row r="57" spans="1:33" ht="18.75" customHeight="1" x14ac:dyDescent="0.2">
      <c r="A57" s="692" t="s">
        <v>290</v>
      </c>
      <c r="B57" s="286" t="s">
        <v>301</v>
      </c>
      <c r="C57" s="694">
        <v>9698</v>
      </c>
      <c r="D57" s="19">
        <f>IF(vis!C29&lt;&gt;"",vis!C29,"")</f>
        <v>626</v>
      </c>
      <c r="E57" s="19">
        <f>IF(vis!D29&lt;&gt;"",vis!D29,"")</f>
        <v>1687</v>
      </c>
      <c r="F57" s="19">
        <f>IF(vis!E29&lt;&gt;"",vis!E29,"")</f>
        <v>377</v>
      </c>
      <c r="G57" s="19">
        <f>IF(vis!F29&lt;&gt;"",vis!F29,"")</f>
        <v>802</v>
      </c>
      <c r="H57" s="19"/>
      <c r="I57" s="19"/>
      <c r="J57" s="19">
        <f>IF(vis!G29&lt;&gt;"",vis!G29,"")</f>
        <v>1099</v>
      </c>
      <c r="K57" s="19"/>
      <c r="L57" s="19">
        <f>IF(vis!H29&lt;&gt;"",vis!H29,"")</f>
        <v>2329</v>
      </c>
      <c r="M57" s="19">
        <f>IF(vis!I29&lt;&gt;"",vis!I29,"")</f>
        <v>241</v>
      </c>
      <c r="N57" s="19"/>
      <c r="O57" s="19">
        <f>IF(vis!J29&lt;&gt;"",vis!J29,"")</f>
        <v>442</v>
      </c>
      <c r="P57" s="19"/>
      <c r="Q57" s="19"/>
      <c r="R57" s="19">
        <f>IF(vis!K29&lt;&gt;"",vis!K29,"")</f>
        <v>100</v>
      </c>
      <c r="S57" s="19"/>
      <c r="T57" s="19"/>
      <c r="U57" s="19">
        <f>IF(vis!L29&lt;&gt;"",vis!L29,"")</f>
        <v>165</v>
      </c>
      <c r="V57" s="19">
        <f>IF(vis!M29&lt;&gt;"",vis!M29,"")</f>
        <v>105</v>
      </c>
      <c r="W57" s="19"/>
      <c r="X57" s="19"/>
      <c r="Y57" s="19">
        <f>IF(vis!N29&lt;&gt;"",vis!N29,"")</f>
        <v>590</v>
      </c>
      <c r="Z57" s="19"/>
      <c r="AA57" s="19"/>
      <c r="AB57" s="19"/>
      <c r="AC57" s="19"/>
      <c r="AD57" s="19"/>
      <c r="AE57" s="19"/>
      <c r="AF57" s="19"/>
      <c r="AG57" s="12">
        <f t="shared" si="11"/>
        <v>8563</v>
      </c>
    </row>
    <row r="58" spans="1:33" ht="18.75" customHeight="1" x14ac:dyDescent="0.2">
      <c r="A58" s="693"/>
      <c r="B58" s="286" t="s">
        <v>302</v>
      </c>
      <c r="C58" s="695"/>
      <c r="D58" s="19">
        <f>IF(szeg!C29&lt;&gt;"",szeg!C29,"")</f>
        <v>910</v>
      </c>
      <c r="E58" s="19">
        <f>IF(szeg!D29&lt;&gt;"",szeg!D29,"")</f>
        <v>3205</v>
      </c>
      <c r="F58" s="19">
        <f>IF(szeg!E29&lt;&gt;"",szeg!E29,"")</f>
        <v>203</v>
      </c>
      <c r="G58" s="19">
        <f>IF(szeg!F29&lt;&gt;"",szeg!F29,"")</f>
        <v>299</v>
      </c>
      <c r="H58" s="19">
        <f>IF(szeg!G29&lt;&gt;"",szeg!G29,"")</f>
        <v>578</v>
      </c>
      <c r="I58" s="19">
        <f>IF(szeg!H29&lt;&gt;"",szeg!H29,"")</f>
        <v>195</v>
      </c>
      <c r="J58" s="19">
        <f>IF(szeg!I29&lt;&gt;"",szeg!I29,"")</f>
        <v>1822</v>
      </c>
      <c r="K58" s="19">
        <f>IF(szeg!J29&lt;&gt;"",szeg!J29,"")</f>
        <v>5280</v>
      </c>
      <c r="L58" s="19">
        <f>IF(szeg!K29&lt;&gt;"",szeg!K29,"")</f>
        <v>752</v>
      </c>
      <c r="M58" s="19">
        <f>IF(szeg!L29&lt;&gt;"",szeg!L29,"")</f>
        <v>691</v>
      </c>
      <c r="N58" s="19">
        <f>IF(szeg!M29&lt;&gt;"",szeg!M29,"")</f>
        <v>3027</v>
      </c>
      <c r="O58" s="19">
        <f>IF(szeg!N29&lt;&gt;"",szeg!N29,"")</f>
        <v>168</v>
      </c>
      <c r="P58" s="19">
        <f>IF(szeg!O29&lt;&gt;"",szeg!O29,"")</f>
        <v>1968</v>
      </c>
      <c r="Q58" s="19">
        <f>IF(szeg!P29&lt;&gt;"",szeg!P29,"")</f>
        <v>23</v>
      </c>
      <c r="R58" s="19"/>
      <c r="S58" s="19">
        <f>IF(szeg!Q29&lt;&gt;"",szeg!Q29,"")</f>
        <v>41</v>
      </c>
      <c r="T58" s="19">
        <f>IF(szeg!R29&lt;&gt;"",szeg!R29,"")</f>
        <v>42255</v>
      </c>
      <c r="U58" s="19"/>
      <c r="V58" s="19">
        <f>IF(szeg!S29&lt;&gt;"",szeg!S29,"")</f>
        <v>38</v>
      </c>
      <c r="W58" s="19">
        <f>IF(szeg!T29&lt;&gt;"",szeg!T29,"")</f>
        <v>106</v>
      </c>
      <c r="X58" s="19">
        <f>IF(szeg!U29&lt;&gt;"",szeg!U29,"")</f>
        <v>124</v>
      </c>
      <c r="Y58" s="19"/>
      <c r="Z58" s="19">
        <f>IF(szeg!V29&lt;&gt;"",szeg!V29,"")</f>
        <v>2284</v>
      </c>
      <c r="AA58" s="19">
        <f>IF(szeg!W29&lt;&gt;"",szeg!W29,"")</f>
        <v>7410</v>
      </c>
      <c r="AB58" s="19">
        <f>IF(szeg!X29&lt;&gt;"",szeg!X29,"")</f>
        <v>43</v>
      </c>
      <c r="AC58" s="19">
        <f>IF(szeg!Y29&lt;&gt;"",szeg!Y29,"")</f>
        <v>5</v>
      </c>
      <c r="AD58" s="19">
        <f>IF(szeg!Z29&lt;&gt;"",szeg!Z29,"")</f>
        <v>47</v>
      </c>
      <c r="AE58" s="19">
        <f>IF(szeg!AA29&lt;&gt;"",szeg!AA29,"")</f>
        <v>279</v>
      </c>
      <c r="AF58" s="19">
        <f>IF(szeg!AB29&lt;&gt;"",szeg!AB29,"")</f>
        <v>57</v>
      </c>
      <c r="AG58" s="12">
        <f t="shared" si="11"/>
        <v>71810</v>
      </c>
    </row>
    <row r="59" spans="1:33" s="26" customFormat="1" ht="18.75" customHeight="1" x14ac:dyDescent="0.2">
      <c r="A59" s="696" t="s">
        <v>17</v>
      </c>
      <c r="B59" s="286" t="s">
        <v>301</v>
      </c>
      <c r="C59" s="699"/>
      <c r="D59" s="11">
        <f t="shared" ref="D59:AG60" si="12">SUM(D45,D51,D55,D57)</f>
        <v>23473</v>
      </c>
      <c r="E59" s="11">
        <f t="shared" si="12"/>
        <v>31050</v>
      </c>
      <c r="F59" s="11">
        <f t="shared" si="12"/>
        <v>50810</v>
      </c>
      <c r="G59" s="11">
        <f t="shared" si="12"/>
        <v>28685</v>
      </c>
      <c r="H59" s="11">
        <f t="shared" si="12"/>
        <v>0</v>
      </c>
      <c r="I59" s="11">
        <f t="shared" si="12"/>
        <v>0</v>
      </c>
      <c r="J59" s="11">
        <f t="shared" si="12"/>
        <v>44894</v>
      </c>
      <c r="K59" s="11">
        <f t="shared" si="12"/>
        <v>0</v>
      </c>
      <c r="L59" s="11">
        <f t="shared" si="12"/>
        <v>34593</v>
      </c>
      <c r="M59" s="11">
        <f t="shared" si="12"/>
        <v>23883</v>
      </c>
      <c r="N59" s="11">
        <f t="shared" si="12"/>
        <v>0</v>
      </c>
      <c r="O59" s="11">
        <f t="shared" si="12"/>
        <v>36015</v>
      </c>
      <c r="P59" s="11">
        <f t="shared" si="12"/>
        <v>0</v>
      </c>
      <c r="Q59" s="11">
        <f t="shared" si="12"/>
        <v>0</v>
      </c>
      <c r="R59" s="11">
        <f t="shared" si="12"/>
        <v>100</v>
      </c>
      <c r="S59" s="11">
        <f t="shared" si="12"/>
        <v>0</v>
      </c>
      <c r="T59" s="11">
        <f t="shared" si="12"/>
        <v>0</v>
      </c>
      <c r="U59" s="11">
        <f t="shared" si="12"/>
        <v>13764</v>
      </c>
      <c r="V59" s="11">
        <f t="shared" si="12"/>
        <v>7843</v>
      </c>
      <c r="W59" s="11">
        <f t="shared" si="12"/>
        <v>0</v>
      </c>
      <c r="X59" s="11">
        <f t="shared" si="12"/>
        <v>0</v>
      </c>
      <c r="Y59" s="11">
        <f t="shared" si="12"/>
        <v>35128</v>
      </c>
      <c r="Z59" s="11">
        <f t="shared" si="12"/>
        <v>0</v>
      </c>
      <c r="AA59" s="11">
        <f t="shared" si="12"/>
        <v>0</v>
      </c>
      <c r="AB59" s="11">
        <f t="shared" si="12"/>
        <v>0</v>
      </c>
      <c r="AC59" s="11">
        <f t="shared" si="12"/>
        <v>0</v>
      </c>
      <c r="AD59" s="11">
        <f t="shared" si="12"/>
        <v>0</v>
      </c>
      <c r="AE59" s="11">
        <f t="shared" si="12"/>
        <v>0</v>
      </c>
      <c r="AF59" s="11">
        <f t="shared" si="12"/>
        <v>0</v>
      </c>
      <c r="AG59" s="12">
        <f t="shared" si="12"/>
        <v>330238</v>
      </c>
    </row>
    <row r="60" spans="1:33" s="26" customFormat="1" ht="18.75" customHeight="1" x14ac:dyDescent="0.2">
      <c r="A60" s="697"/>
      <c r="B60" s="286" t="s">
        <v>302</v>
      </c>
      <c r="C60" s="700"/>
      <c r="D60" s="11">
        <f t="shared" si="12"/>
        <v>25122</v>
      </c>
      <c r="E60" s="11">
        <f t="shared" si="12"/>
        <v>34773</v>
      </c>
      <c r="F60" s="11">
        <f t="shared" si="12"/>
        <v>45816</v>
      </c>
      <c r="G60" s="11">
        <f t="shared" si="12"/>
        <v>32979</v>
      </c>
      <c r="H60" s="11">
        <f t="shared" si="12"/>
        <v>81017</v>
      </c>
      <c r="I60" s="11">
        <f t="shared" si="12"/>
        <v>38044</v>
      </c>
      <c r="J60" s="11">
        <f t="shared" si="12"/>
        <v>46514</v>
      </c>
      <c r="K60" s="11">
        <f t="shared" si="12"/>
        <v>58975</v>
      </c>
      <c r="L60" s="11">
        <f t="shared" si="12"/>
        <v>37074</v>
      </c>
      <c r="M60" s="11">
        <f t="shared" si="12"/>
        <v>36866</v>
      </c>
      <c r="N60" s="11">
        <f t="shared" si="12"/>
        <v>215209</v>
      </c>
      <c r="O60" s="11">
        <f t="shared" si="12"/>
        <v>25901</v>
      </c>
      <c r="P60" s="11">
        <f t="shared" si="12"/>
        <v>2177</v>
      </c>
      <c r="Q60" s="11">
        <f t="shared" si="12"/>
        <v>14759</v>
      </c>
      <c r="R60" s="11">
        <f t="shared" si="12"/>
        <v>0</v>
      </c>
      <c r="S60" s="11">
        <f t="shared" si="12"/>
        <v>4587</v>
      </c>
      <c r="T60" s="11">
        <f t="shared" si="12"/>
        <v>115212</v>
      </c>
      <c r="U60" s="11">
        <f t="shared" si="12"/>
        <v>0</v>
      </c>
      <c r="V60" s="11">
        <f t="shared" si="12"/>
        <v>11055</v>
      </c>
      <c r="W60" s="11">
        <f t="shared" si="12"/>
        <v>7521</v>
      </c>
      <c r="X60" s="11">
        <f t="shared" si="12"/>
        <v>22704</v>
      </c>
      <c r="Y60" s="11">
        <f t="shared" si="12"/>
        <v>0</v>
      </c>
      <c r="Z60" s="11">
        <f t="shared" si="12"/>
        <v>20997</v>
      </c>
      <c r="AA60" s="11">
        <f t="shared" si="12"/>
        <v>129634</v>
      </c>
      <c r="AB60" s="11">
        <f t="shared" si="12"/>
        <v>5822</v>
      </c>
      <c r="AC60" s="11">
        <f t="shared" si="12"/>
        <v>2438</v>
      </c>
      <c r="AD60" s="11">
        <f t="shared" si="12"/>
        <v>59297</v>
      </c>
      <c r="AE60" s="11">
        <f>SUM(AE46,AE52,AE56,AE58)</f>
        <v>279</v>
      </c>
      <c r="AF60" s="11">
        <f t="shared" si="12"/>
        <v>1497</v>
      </c>
      <c r="AG60" s="12">
        <f t="shared" si="12"/>
        <v>1076269</v>
      </c>
    </row>
    <row r="61" spans="1:33" s="26" customFormat="1" ht="18.75" customHeight="1" x14ac:dyDescent="0.2">
      <c r="A61" s="698"/>
      <c r="B61" s="233" t="s">
        <v>3</v>
      </c>
      <c r="C61" s="701"/>
      <c r="D61" s="11">
        <f t="shared" ref="D61:AG61" si="13">SUM(D59:D60)</f>
        <v>48595</v>
      </c>
      <c r="E61" s="11">
        <f t="shared" si="13"/>
        <v>65823</v>
      </c>
      <c r="F61" s="11">
        <f t="shared" si="13"/>
        <v>96626</v>
      </c>
      <c r="G61" s="11">
        <f t="shared" si="13"/>
        <v>61664</v>
      </c>
      <c r="H61" s="11">
        <f t="shared" si="13"/>
        <v>81017</v>
      </c>
      <c r="I61" s="11">
        <f t="shared" si="13"/>
        <v>38044</v>
      </c>
      <c r="J61" s="11">
        <f t="shared" si="13"/>
        <v>91408</v>
      </c>
      <c r="K61" s="11">
        <f t="shared" si="13"/>
        <v>58975</v>
      </c>
      <c r="L61" s="11">
        <f t="shared" si="13"/>
        <v>71667</v>
      </c>
      <c r="M61" s="11">
        <f t="shared" si="13"/>
        <v>60749</v>
      </c>
      <c r="N61" s="11">
        <f t="shared" si="13"/>
        <v>215209</v>
      </c>
      <c r="O61" s="11">
        <f t="shared" si="13"/>
        <v>61916</v>
      </c>
      <c r="P61" s="11">
        <f t="shared" si="13"/>
        <v>2177</v>
      </c>
      <c r="Q61" s="11">
        <f>SUM(Q59:Q60)</f>
        <v>14759</v>
      </c>
      <c r="R61" s="11">
        <f t="shared" ref="R61" si="14">SUM(R59:R60)</f>
        <v>100</v>
      </c>
      <c r="S61" s="11">
        <f>SUM(S59:S60)</f>
        <v>4587</v>
      </c>
      <c r="T61" s="11">
        <f t="shared" si="13"/>
        <v>115212</v>
      </c>
      <c r="U61" s="11">
        <f t="shared" si="13"/>
        <v>13764</v>
      </c>
      <c r="V61" s="11">
        <f t="shared" si="13"/>
        <v>18898</v>
      </c>
      <c r="W61" s="11">
        <f t="shared" si="13"/>
        <v>7521</v>
      </c>
      <c r="X61" s="11">
        <f t="shared" si="13"/>
        <v>22704</v>
      </c>
      <c r="Y61" s="11">
        <f t="shared" si="13"/>
        <v>35128</v>
      </c>
      <c r="Z61" s="11">
        <f t="shared" si="13"/>
        <v>20997</v>
      </c>
      <c r="AA61" s="11">
        <f t="shared" si="13"/>
        <v>129634</v>
      </c>
      <c r="AB61" s="11">
        <f t="shared" si="13"/>
        <v>5822</v>
      </c>
      <c r="AC61" s="11">
        <f t="shared" si="13"/>
        <v>2438</v>
      </c>
      <c r="AD61" s="11">
        <f t="shared" si="13"/>
        <v>59297</v>
      </c>
      <c r="AE61" s="11">
        <f t="shared" si="13"/>
        <v>279</v>
      </c>
      <c r="AF61" s="11">
        <f t="shared" si="13"/>
        <v>1497</v>
      </c>
      <c r="AG61" s="12">
        <f t="shared" si="13"/>
        <v>1406507</v>
      </c>
    </row>
    <row r="62" spans="1:33" s="26" customFormat="1" ht="18.75" customHeight="1" x14ac:dyDescent="0.2">
      <c r="A62" s="702" t="s">
        <v>291</v>
      </c>
      <c r="B62" s="286" t="s">
        <v>301</v>
      </c>
      <c r="C62" s="699"/>
      <c r="D62" s="11">
        <f t="shared" ref="D62:S64" si="15">D59-D42</f>
        <v>-3982</v>
      </c>
      <c r="E62" s="11">
        <f t="shared" si="15"/>
        <v>1139</v>
      </c>
      <c r="F62" s="11">
        <f t="shared" si="15"/>
        <v>12168</v>
      </c>
      <c r="G62" s="11">
        <f t="shared" si="15"/>
        <v>-1050</v>
      </c>
      <c r="H62" s="11">
        <f t="shared" si="15"/>
        <v>0</v>
      </c>
      <c r="I62" s="11">
        <f t="shared" si="15"/>
        <v>0</v>
      </c>
      <c r="J62" s="11">
        <f t="shared" si="15"/>
        <v>3735</v>
      </c>
      <c r="K62" s="11">
        <f t="shared" si="15"/>
        <v>0</v>
      </c>
      <c r="L62" s="11">
        <f t="shared" si="15"/>
        <v>6977</v>
      </c>
      <c r="M62" s="11">
        <f t="shared" si="15"/>
        <v>567</v>
      </c>
      <c r="N62" s="11">
        <f t="shared" si="15"/>
        <v>0</v>
      </c>
      <c r="O62" s="11">
        <f t="shared" si="15"/>
        <v>2382</v>
      </c>
      <c r="P62" s="11"/>
      <c r="Q62" s="11"/>
      <c r="R62" s="11">
        <f>R59-R42</f>
        <v>-318</v>
      </c>
      <c r="S62" s="11"/>
      <c r="T62" s="11">
        <f>T59-T42</f>
        <v>0</v>
      </c>
      <c r="U62" s="11">
        <f>U59-U42</f>
        <v>887</v>
      </c>
      <c r="V62" s="11">
        <f>V59-V42</f>
        <v>68</v>
      </c>
      <c r="W62" s="11"/>
      <c r="X62" s="11"/>
      <c r="Y62" s="11">
        <f>Y59-Y42</f>
        <v>5832</v>
      </c>
      <c r="Z62" s="11"/>
      <c r="AA62" s="11"/>
      <c r="AB62" s="11"/>
      <c r="AC62" s="11"/>
      <c r="AD62" s="11"/>
      <c r="AE62" s="11"/>
      <c r="AF62" s="11"/>
      <c r="AG62" s="12">
        <f>AG59-AG42</f>
        <v>28405</v>
      </c>
    </row>
    <row r="63" spans="1:33" ht="18.75" customHeight="1" x14ac:dyDescent="0.2">
      <c r="A63" s="702"/>
      <c r="B63" s="286" t="s">
        <v>302</v>
      </c>
      <c r="C63" s="700"/>
      <c r="D63" s="11">
        <f t="shared" si="15"/>
        <v>-4377</v>
      </c>
      <c r="E63" s="11">
        <f t="shared" si="15"/>
        <v>3911</v>
      </c>
      <c r="F63" s="11">
        <f t="shared" si="15"/>
        <v>6293</v>
      </c>
      <c r="G63" s="11">
        <f t="shared" si="15"/>
        <v>-215</v>
      </c>
      <c r="H63" s="11">
        <f t="shared" si="15"/>
        <v>-4856</v>
      </c>
      <c r="I63" s="11">
        <f t="shared" si="15"/>
        <v>361</v>
      </c>
      <c r="J63" s="11">
        <f t="shared" si="15"/>
        <v>681</v>
      </c>
      <c r="K63" s="11">
        <f t="shared" si="15"/>
        <v>2271</v>
      </c>
      <c r="L63" s="11">
        <f t="shared" si="15"/>
        <v>13509</v>
      </c>
      <c r="M63" s="11">
        <f t="shared" si="15"/>
        <v>9647</v>
      </c>
      <c r="N63" s="11">
        <f t="shared" si="15"/>
        <v>-46766</v>
      </c>
      <c r="O63" s="11">
        <f t="shared" si="15"/>
        <v>-7093</v>
      </c>
      <c r="P63" s="11">
        <f t="shared" si="15"/>
        <v>2040</v>
      </c>
      <c r="Q63" s="11">
        <f t="shared" si="15"/>
        <v>10407</v>
      </c>
      <c r="R63" s="11"/>
      <c r="S63" s="11">
        <f t="shared" si="15"/>
        <v>-3090</v>
      </c>
      <c r="T63" s="11">
        <f t="shared" ref="P63:T64" si="16">T60-T43</f>
        <v>-37861</v>
      </c>
      <c r="U63" s="11"/>
      <c r="V63" s="11">
        <f t="shared" ref="V63:AG64" si="17">V60-V43</f>
        <v>3647</v>
      </c>
      <c r="W63" s="11">
        <f t="shared" si="17"/>
        <v>-12015</v>
      </c>
      <c r="X63" s="11">
        <f t="shared" si="17"/>
        <v>-2097</v>
      </c>
      <c r="Y63" s="11"/>
      <c r="Z63" s="11">
        <f t="shared" si="17"/>
        <v>-10963</v>
      </c>
      <c r="AA63" s="11">
        <f t="shared" si="17"/>
        <v>-4734</v>
      </c>
      <c r="AB63" s="11">
        <f t="shared" si="17"/>
        <v>-2502</v>
      </c>
      <c r="AC63" s="11">
        <f t="shared" si="17"/>
        <v>1427</v>
      </c>
      <c r="AD63" s="11">
        <f t="shared" si="17"/>
        <v>50315</v>
      </c>
      <c r="AE63" s="11">
        <f>AE60-AE43</f>
        <v>-160</v>
      </c>
      <c r="AF63" s="11">
        <f t="shared" si="17"/>
        <v>-8947</v>
      </c>
      <c r="AG63" s="12">
        <f t="shared" si="17"/>
        <v>-41167</v>
      </c>
    </row>
    <row r="64" spans="1:33" ht="18.75" customHeight="1" thickBot="1" x14ac:dyDescent="0.25">
      <c r="A64" s="703"/>
      <c r="B64" s="320" t="s">
        <v>3</v>
      </c>
      <c r="C64" s="704"/>
      <c r="D64" s="30">
        <f t="shared" si="15"/>
        <v>-8359</v>
      </c>
      <c r="E64" s="30">
        <f t="shared" si="15"/>
        <v>5050</v>
      </c>
      <c r="F64" s="30">
        <f t="shared" si="15"/>
        <v>18461</v>
      </c>
      <c r="G64" s="30">
        <f t="shared" si="15"/>
        <v>-1265</v>
      </c>
      <c r="H64" s="30">
        <f t="shared" si="15"/>
        <v>-4856</v>
      </c>
      <c r="I64" s="30">
        <f t="shared" si="15"/>
        <v>361</v>
      </c>
      <c r="J64" s="30">
        <f t="shared" si="15"/>
        <v>4416</v>
      </c>
      <c r="K64" s="30">
        <f t="shared" si="15"/>
        <v>2271</v>
      </c>
      <c r="L64" s="30">
        <f t="shared" si="15"/>
        <v>20486</v>
      </c>
      <c r="M64" s="30">
        <f t="shared" si="15"/>
        <v>10214</v>
      </c>
      <c r="N64" s="30">
        <f t="shared" si="15"/>
        <v>-46766</v>
      </c>
      <c r="O64" s="30">
        <f t="shared" si="15"/>
        <v>-4711</v>
      </c>
      <c r="P64" s="30">
        <f t="shared" si="16"/>
        <v>2040</v>
      </c>
      <c r="Q64" s="30">
        <f t="shared" si="16"/>
        <v>10407</v>
      </c>
      <c r="R64" s="30">
        <f>R61-R44</f>
        <v>-318</v>
      </c>
      <c r="S64" s="30">
        <f t="shared" si="16"/>
        <v>-3090</v>
      </c>
      <c r="T64" s="30">
        <f t="shared" si="16"/>
        <v>-37861</v>
      </c>
      <c r="U64" s="30">
        <f>U61-U44</f>
        <v>887</v>
      </c>
      <c r="V64" s="30">
        <f t="shared" si="17"/>
        <v>3715</v>
      </c>
      <c r="W64" s="30">
        <f t="shared" si="17"/>
        <v>-12015</v>
      </c>
      <c r="X64" s="30">
        <f t="shared" si="17"/>
        <v>-2097</v>
      </c>
      <c r="Y64" s="30">
        <f>Y61-Y44</f>
        <v>5832</v>
      </c>
      <c r="Z64" s="30">
        <f t="shared" si="17"/>
        <v>-10963</v>
      </c>
      <c r="AA64" s="30">
        <f t="shared" si="17"/>
        <v>-4734</v>
      </c>
      <c r="AB64" s="30">
        <f t="shared" si="17"/>
        <v>-2502</v>
      </c>
      <c r="AC64" s="30">
        <f t="shared" si="17"/>
        <v>1427</v>
      </c>
      <c r="AD64" s="30">
        <f t="shared" si="17"/>
        <v>50315</v>
      </c>
      <c r="AE64" s="30">
        <f>AE61-AE44</f>
        <v>-160</v>
      </c>
      <c r="AF64" s="30">
        <f t="shared" si="17"/>
        <v>-8947</v>
      </c>
      <c r="AG64" s="80">
        <f t="shared" si="17"/>
        <v>-12762</v>
      </c>
    </row>
  </sheetData>
  <mergeCells count="60">
    <mergeCell ref="A2:A3"/>
    <mergeCell ref="C2:C3"/>
    <mergeCell ref="A4:A5"/>
    <mergeCell ref="C4:C5"/>
    <mergeCell ref="A6:A7"/>
    <mergeCell ref="C6:C7"/>
    <mergeCell ref="A8:A9"/>
    <mergeCell ref="C8:C9"/>
    <mergeCell ref="A10:A11"/>
    <mergeCell ref="C10:C11"/>
    <mergeCell ref="A12:A13"/>
    <mergeCell ref="C12:C13"/>
    <mergeCell ref="A14:A15"/>
    <mergeCell ref="C14:C15"/>
    <mergeCell ref="A16:A17"/>
    <mergeCell ref="C16:C17"/>
    <mergeCell ref="A18:A19"/>
    <mergeCell ref="C18:C19"/>
    <mergeCell ref="A20:A21"/>
    <mergeCell ref="C20:C21"/>
    <mergeCell ref="A22:A23"/>
    <mergeCell ref="C22:C23"/>
    <mergeCell ref="A24:A25"/>
    <mergeCell ref="C24:C25"/>
    <mergeCell ref="A26:A27"/>
    <mergeCell ref="C26:C27"/>
    <mergeCell ref="A28:A29"/>
    <mergeCell ref="C28:C29"/>
    <mergeCell ref="A30:A31"/>
    <mergeCell ref="C30:C31"/>
    <mergeCell ref="A32:A33"/>
    <mergeCell ref="C32:C33"/>
    <mergeCell ref="A34:A35"/>
    <mergeCell ref="C34:C35"/>
    <mergeCell ref="A36:A37"/>
    <mergeCell ref="C36:C37"/>
    <mergeCell ref="A38:A39"/>
    <mergeCell ref="C38:C39"/>
    <mergeCell ref="A40:A41"/>
    <mergeCell ref="C40:C41"/>
    <mergeCell ref="A42:A44"/>
    <mergeCell ref="C42:C44"/>
    <mergeCell ref="A45:A46"/>
    <mergeCell ref="C45:C46"/>
    <mergeCell ref="A47:A48"/>
    <mergeCell ref="C47:C48"/>
    <mergeCell ref="A49:A50"/>
    <mergeCell ref="C49:C50"/>
    <mergeCell ref="A51:A52"/>
    <mergeCell ref="C51:C52"/>
    <mergeCell ref="A53:A54"/>
    <mergeCell ref="C53:C54"/>
    <mergeCell ref="A55:A56"/>
    <mergeCell ref="C55:C56"/>
    <mergeCell ref="A57:A58"/>
    <mergeCell ref="C57:C58"/>
    <mergeCell ref="A59:A61"/>
    <mergeCell ref="C59:C61"/>
    <mergeCell ref="A62:A64"/>
    <mergeCell ref="C62:C64"/>
  </mergeCells>
  <conditionalFormatting sqref="A65:HZ65532 A55:A61 A1:A53 B1:HZ61">
    <cfRule type="cellIs" dxfId="2" priority="1" stopIfTrue="1" operator="equal">
      <formula>0</formula>
    </cfRule>
  </conditionalFormatting>
  <printOptions horizontalCentered="1" verticalCentered="1"/>
  <pageMargins left="0" right="0" top="0.51181102362204722" bottom="0.43307086614173229" header="0.31496062992125984" footer="0.31496062992125984"/>
  <pageSetup paperSize="9" scale="43" orientation="landscape" r:id="rId1"/>
  <headerFooter alignWithMargins="0">
    <oddHeader>&amp;CEredménykimutatás Járóbeteg szakterületenként 2016.év (e Ft)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9"/>
  <sheetViews>
    <sheetView topLeftCell="B1" zoomScale="85" zoomScaleNormal="85" workbookViewId="0">
      <pane ySplit="4" topLeftCell="A5" activePane="bottomLeft" state="frozen"/>
      <selection sqref="A1:XFD1048576"/>
      <selection pane="bottomLeft" sqref="A1:XFD1048576"/>
    </sheetView>
  </sheetViews>
  <sheetFormatPr defaultRowHeight="12.75" x14ac:dyDescent="0.2"/>
  <cols>
    <col min="1" max="1" width="30.140625" style="323" customWidth="1"/>
    <col min="2" max="2" width="9.28515625" style="323" customWidth="1"/>
    <col min="3" max="3" width="11.5703125" style="323" customWidth="1"/>
    <col min="4" max="4" width="11.85546875" style="323" customWidth="1"/>
    <col min="5" max="6" width="10.42578125" style="323" customWidth="1"/>
    <col min="7" max="7" width="12.140625" style="323" customWidth="1"/>
    <col min="8" max="8" width="9.42578125" style="323" customWidth="1"/>
    <col min="9" max="9" width="9.42578125" style="366" customWidth="1"/>
    <col min="10" max="11" width="9.42578125" style="323" hidden="1" customWidth="1"/>
    <col min="12" max="12" width="11.28515625" style="323" customWidth="1"/>
    <col min="13" max="13" width="11.5703125" style="367" customWidth="1"/>
    <col min="14" max="14" width="11.85546875" style="368" customWidth="1"/>
    <col min="15" max="15" width="13" style="341" bestFit="1" customWidth="1"/>
    <col min="16" max="16" width="13" style="323" customWidth="1"/>
    <col min="17" max="17" width="9.7109375" style="341" customWidth="1"/>
    <col min="18" max="18" width="13.85546875" style="341" customWidth="1"/>
    <col min="19" max="19" width="9.85546875" style="341" customWidth="1"/>
    <col min="20" max="20" width="12" style="341" customWidth="1"/>
    <col min="21" max="21" width="12.42578125" style="367" customWidth="1"/>
    <col min="22" max="22" width="10.7109375" style="323" customWidth="1"/>
    <col min="23" max="23" width="6.7109375" style="323" customWidth="1"/>
    <col min="24" max="16384" width="9.140625" style="323"/>
  </cols>
  <sheetData>
    <row r="1" spans="1:22" x14ac:dyDescent="0.2">
      <c r="A1" s="721"/>
      <c r="B1" s="723" t="s">
        <v>303</v>
      </c>
      <c r="C1" s="724"/>
      <c r="D1" s="724"/>
      <c r="E1" s="724"/>
      <c r="F1" s="724"/>
      <c r="G1" s="724"/>
      <c r="H1" s="724"/>
      <c r="I1" s="724"/>
      <c r="J1" s="724"/>
      <c r="K1" s="724"/>
      <c r="L1" s="724"/>
      <c r="M1" s="724"/>
      <c r="N1" s="723" t="s">
        <v>304</v>
      </c>
      <c r="O1" s="723"/>
      <c r="P1" s="723"/>
      <c r="Q1" s="723"/>
      <c r="R1" s="723"/>
      <c r="S1" s="723"/>
      <c r="T1" s="723"/>
      <c r="U1" s="723"/>
      <c r="V1" s="322"/>
    </row>
    <row r="2" spans="1:22" s="325" customFormat="1" ht="12.75" customHeight="1" x14ac:dyDescent="0.2">
      <c r="A2" s="722"/>
      <c r="B2" s="714" t="s">
        <v>305</v>
      </c>
      <c r="C2" s="714" t="s">
        <v>306</v>
      </c>
      <c r="D2" s="714" t="s">
        <v>307</v>
      </c>
      <c r="E2" s="725" t="s">
        <v>65</v>
      </c>
      <c r="F2" s="714" t="s">
        <v>308</v>
      </c>
      <c r="G2" s="714" t="s">
        <v>309</v>
      </c>
      <c r="H2" s="714" t="s">
        <v>310</v>
      </c>
      <c r="I2" s="713" t="s">
        <v>311</v>
      </c>
      <c r="J2" s="324"/>
      <c r="K2" s="324"/>
      <c r="L2" s="714" t="s">
        <v>312</v>
      </c>
      <c r="M2" s="715" t="s">
        <v>280</v>
      </c>
      <c r="N2" s="716" t="s">
        <v>281</v>
      </c>
      <c r="O2" s="717" t="s">
        <v>313</v>
      </c>
      <c r="P2" s="714" t="s">
        <v>284</v>
      </c>
      <c r="Q2" s="716" t="s">
        <v>314</v>
      </c>
      <c r="R2" s="719" t="s">
        <v>315</v>
      </c>
      <c r="S2" s="716" t="s">
        <v>289</v>
      </c>
      <c r="T2" s="716" t="s">
        <v>290</v>
      </c>
      <c r="U2" s="715" t="s">
        <v>17</v>
      </c>
      <c r="V2" s="712" t="s">
        <v>291</v>
      </c>
    </row>
    <row r="3" spans="1:22" s="325" customFormat="1" ht="69.75" customHeight="1" x14ac:dyDescent="0.2">
      <c r="A3" s="722"/>
      <c r="B3" s="714"/>
      <c r="C3" s="714"/>
      <c r="D3" s="714"/>
      <c r="E3" s="726"/>
      <c r="F3" s="718"/>
      <c r="G3" s="714"/>
      <c r="H3" s="714"/>
      <c r="I3" s="713"/>
      <c r="J3" s="324"/>
      <c r="K3" s="324"/>
      <c r="L3" s="714"/>
      <c r="M3" s="715"/>
      <c r="N3" s="716"/>
      <c r="O3" s="716"/>
      <c r="P3" s="718"/>
      <c r="Q3" s="716"/>
      <c r="R3" s="720"/>
      <c r="S3" s="716"/>
      <c r="T3" s="716"/>
      <c r="U3" s="715" t="s">
        <v>170</v>
      </c>
      <c r="V3" s="712" t="s">
        <v>316</v>
      </c>
    </row>
    <row r="4" spans="1:22" x14ac:dyDescent="0.2">
      <c r="A4" s="722"/>
      <c r="B4" s="326">
        <v>51</v>
      </c>
      <c r="C4" s="326">
        <v>52</v>
      </c>
      <c r="D4" s="326">
        <v>53</v>
      </c>
      <c r="E4" s="326">
        <v>54</v>
      </c>
      <c r="F4" s="326">
        <v>55</v>
      </c>
      <c r="G4" s="326">
        <v>56</v>
      </c>
      <c r="H4" s="324">
        <v>57</v>
      </c>
      <c r="I4" s="327">
        <v>815</v>
      </c>
      <c r="J4" s="324"/>
      <c r="K4" s="324"/>
      <c r="L4" s="326">
        <v>86</v>
      </c>
      <c r="M4" s="328"/>
      <c r="N4" s="329" t="s">
        <v>282</v>
      </c>
      <c r="O4" s="329">
        <v>9117</v>
      </c>
      <c r="P4" s="326" t="s">
        <v>285</v>
      </c>
      <c r="Q4" s="329" t="s">
        <v>287</v>
      </c>
      <c r="R4" s="329">
        <v>9635</v>
      </c>
      <c r="S4" s="329">
        <v>97</v>
      </c>
      <c r="T4" s="329">
        <v>9698</v>
      </c>
      <c r="U4" s="328"/>
      <c r="V4" s="330"/>
    </row>
    <row r="5" spans="1:22" x14ac:dyDescent="0.2">
      <c r="A5" s="331" t="s">
        <v>317</v>
      </c>
      <c r="B5" s="332" t="s">
        <v>318</v>
      </c>
      <c r="C5" s="332"/>
      <c r="D5" s="332"/>
      <c r="E5" s="332"/>
      <c r="F5" s="332"/>
      <c r="G5" s="332" t="s">
        <v>318</v>
      </c>
      <c r="H5" s="332"/>
      <c r="I5" s="333"/>
      <c r="J5" s="332"/>
      <c r="K5" s="332"/>
      <c r="L5" s="333" t="s">
        <v>318</v>
      </c>
      <c r="M5" s="328" t="s">
        <v>318</v>
      </c>
      <c r="N5" s="334" t="s">
        <v>318</v>
      </c>
      <c r="O5" s="334"/>
      <c r="P5" s="332"/>
      <c r="Q5" s="334"/>
      <c r="R5" s="334"/>
      <c r="S5" s="334"/>
      <c r="T5" s="334"/>
      <c r="U5" s="328"/>
      <c r="V5" s="330"/>
    </row>
    <row r="6" spans="1:22" s="341" customFormat="1" x14ac:dyDescent="0.2">
      <c r="A6" s="335" t="s">
        <v>319</v>
      </c>
      <c r="B6" s="336">
        <v>10</v>
      </c>
      <c r="C6" s="336">
        <v>74702</v>
      </c>
      <c r="D6" s="337"/>
      <c r="E6" s="336"/>
      <c r="F6" s="336"/>
      <c r="G6" s="336"/>
      <c r="H6" s="336">
        <v>187</v>
      </c>
      <c r="I6" s="337">
        <v>4176</v>
      </c>
      <c r="J6" s="338"/>
      <c r="K6" s="338"/>
      <c r="L6" s="336"/>
      <c r="M6" s="339">
        <f>SUM(B6:L6)</f>
        <v>79075</v>
      </c>
      <c r="N6" s="336">
        <v>76763</v>
      </c>
      <c r="O6" s="336">
        <v>72052</v>
      </c>
      <c r="P6" s="336">
        <f>N6-O6</f>
        <v>4711</v>
      </c>
      <c r="Q6" s="336">
        <f>9784-533</f>
        <v>9251</v>
      </c>
      <c r="R6" s="336">
        <v>9190</v>
      </c>
      <c r="S6" s="336">
        <v>4</v>
      </c>
      <c r="T6" s="336">
        <v>533</v>
      </c>
      <c r="U6" s="339">
        <f>SUM(N6,Q6,S6,T6)</f>
        <v>86551</v>
      </c>
      <c r="V6" s="340"/>
    </row>
    <row r="7" spans="1:22" x14ac:dyDescent="0.2">
      <c r="A7" s="342" t="s">
        <v>320</v>
      </c>
      <c r="B7" s="333">
        <v>81</v>
      </c>
      <c r="C7" s="333">
        <v>1396</v>
      </c>
      <c r="D7" s="343">
        <f>364-5</f>
        <v>359</v>
      </c>
      <c r="E7" s="333">
        <v>8205</v>
      </c>
      <c r="F7" s="333">
        <v>208</v>
      </c>
      <c r="G7" s="333">
        <v>2393</v>
      </c>
      <c r="H7" s="333">
        <v>84</v>
      </c>
      <c r="I7" s="343">
        <v>5</v>
      </c>
      <c r="J7" s="343"/>
      <c r="K7" s="343"/>
      <c r="L7" s="336">
        <v>111</v>
      </c>
      <c r="M7" s="339">
        <f>SUM(B7:L7)</f>
        <v>12842</v>
      </c>
      <c r="N7" s="336"/>
      <c r="O7" s="336"/>
      <c r="P7" s="333"/>
      <c r="Q7" s="336"/>
      <c r="R7" s="336"/>
      <c r="S7" s="336"/>
      <c r="T7" s="336"/>
      <c r="U7" s="339"/>
      <c r="V7" s="340"/>
    </row>
    <row r="8" spans="1:22" ht="15" customHeight="1" x14ac:dyDescent="0.2">
      <c r="A8" s="344" t="s">
        <v>321</v>
      </c>
      <c r="B8" s="333">
        <v>63</v>
      </c>
      <c r="C8" s="333">
        <v>1347</v>
      </c>
      <c r="D8" s="343">
        <f>350-5</f>
        <v>345</v>
      </c>
      <c r="E8" s="333">
        <v>3647</v>
      </c>
      <c r="F8" s="333">
        <v>208</v>
      </c>
      <c r="G8" s="333">
        <v>1273</v>
      </c>
      <c r="H8" s="333">
        <v>35</v>
      </c>
      <c r="I8" s="343">
        <v>5</v>
      </c>
      <c r="J8" s="345"/>
      <c r="K8" s="345"/>
      <c r="L8" s="333"/>
      <c r="M8" s="339">
        <f>SUM(B8:L8)</f>
        <v>6923</v>
      </c>
      <c r="N8" s="336"/>
      <c r="O8" s="336"/>
      <c r="P8" s="333"/>
      <c r="Q8" s="336"/>
      <c r="R8" s="336"/>
      <c r="S8" s="336"/>
      <c r="T8" s="336"/>
      <c r="U8" s="339"/>
      <c r="V8" s="340"/>
    </row>
    <row r="9" spans="1:22" s="348" customFormat="1" ht="16.5" customHeight="1" x14ac:dyDescent="0.2">
      <c r="A9" s="346" t="s">
        <v>322</v>
      </c>
      <c r="B9" s="339">
        <f t="shared" ref="B9:G9" si="0">SUM(B6:B7)</f>
        <v>91</v>
      </c>
      <c r="C9" s="339">
        <f t="shared" si="0"/>
        <v>76098</v>
      </c>
      <c r="D9" s="339">
        <f t="shared" si="0"/>
        <v>359</v>
      </c>
      <c r="E9" s="339">
        <f t="shared" si="0"/>
        <v>8205</v>
      </c>
      <c r="F9" s="339">
        <f t="shared" si="0"/>
        <v>208</v>
      </c>
      <c r="G9" s="339">
        <f t="shared" si="0"/>
        <v>2393</v>
      </c>
      <c r="H9" s="339">
        <f>SUM(H6:H7)</f>
        <v>271</v>
      </c>
      <c r="I9" s="339">
        <f t="shared" ref="I9:K9" si="1">SUM(I6:I7)</f>
        <v>4181</v>
      </c>
      <c r="J9" s="339">
        <f t="shared" si="1"/>
        <v>0</v>
      </c>
      <c r="K9" s="339">
        <f t="shared" si="1"/>
        <v>0</v>
      </c>
      <c r="L9" s="339">
        <f>SUM(L6:L7)</f>
        <v>111</v>
      </c>
      <c r="M9" s="339">
        <f>SUM(B9:L9)</f>
        <v>91917</v>
      </c>
      <c r="N9" s="339">
        <f t="shared" ref="N9:T9" si="2">SUM(N6)</f>
        <v>76763</v>
      </c>
      <c r="O9" s="339">
        <f t="shared" si="2"/>
        <v>72052</v>
      </c>
      <c r="P9" s="339">
        <f t="shared" si="2"/>
        <v>4711</v>
      </c>
      <c r="Q9" s="339">
        <f t="shared" si="2"/>
        <v>9251</v>
      </c>
      <c r="R9" s="339">
        <f t="shared" si="2"/>
        <v>9190</v>
      </c>
      <c r="S9" s="339">
        <f t="shared" si="2"/>
        <v>4</v>
      </c>
      <c r="T9" s="339">
        <f t="shared" si="2"/>
        <v>533</v>
      </c>
      <c r="U9" s="339">
        <f>SUM(N9,Q9,S9,T9)</f>
        <v>86551</v>
      </c>
      <c r="V9" s="347">
        <f>U9-M9</f>
        <v>-5366</v>
      </c>
    </row>
    <row r="10" spans="1:22" x14ac:dyDescent="0.2">
      <c r="A10" s="349"/>
      <c r="B10" s="332"/>
      <c r="C10" s="332"/>
      <c r="D10" s="332"/>
      <c r="E10" s="332"/>
      <c r="F10" s="332"/>
      <c r="G10" s="332"/>
      <c r="H10" s="332"/>
      <c r="I10" s="333"/>
      <c r="J10" s="332"/>
      <c r="K10" s="332"/>
      <c r="L10" s="333"/>
      <c r="M10" s="328"/>
      <c r="N10" s="336"/>
      <c r="O10" s="336"/>
      <c r="P10" s="333"/>
      <c r="Q10" s="336"/>
      <c r="R10" s="336"/>
      <c r="S10" s="336"/>
      <c r="T10" s="336"/>
      <c r="U10" s="339"/>
      <c r="V10" s="350"/>
    </row>
    <row r="11" spans="1:22" x14ac:dyDescent="0.2">
      <c r="A11" s="331" t="s">
        <v>323</v>
      </c>
      <c r="B11" s="332"/>
      <c r="C11" s="332"/>
      <c r="D11" s="332"/>
      <c r="E11" s="332"/>
      <c r="F11" s="332"/>
      <c r="G11" s="332"/>
      <c r="H11" s="332"/>
      <c r="I11" s="333"/>
      <c r="J11" s="332"/>
      <c r="K11" s="332"/>
      <c r="L11" s="333"/>
      <c r="M11" s="328"/>
      <c r="N11" s="336"/>
      <c r="O11" s="336"/>
      <c r="P11" s="333"/>
      <c r="Q11" s="336"/>
      <c r="R11" s="336"/>
      <c r="S11" s="336"/>
      <c r="T11" s="336"/>
      <c r="U11" s="339"/>
      <c r="V11" s="350"/>
    </row>
    <row r="12" spans="1:22" x14ac:dyDescent="0.2">
      <c r="A12" s="335" t="s">
        <v>319</v>
      </c>
      <c r="B12" s="332">
        <v>10</v>
      </c>
      <c r="C12" s="332">
        <v>572</v>
      </c>
      <c r="D12" s="332"/>
      <c r="E12" s="334"/>
      <c r="F12" s="334"/>
      <c r="G12" s="334"/>
      <c r="H12" s="334">
        <v>16</v>
      </c>
      <c r="I12" s="333">
        <v>1</v>
      </c>
      <c r="J12" s="332"/>
      <c r="K12" s="332"/>
      <c r="L12" s="336"/>
      <c r="M12" s="339">
        <f>SUM(B12:L12)</f>
        <v>599</v>
      </c>
      <c r="N12" s="336">
        <v>46</v>
      </c>
      <c r="O12" s="336"/>
      <c r="P12" s="336">
        <f>N12-O12</f>
        <v>46</v>
      </c>
      <c r="Q12" s="336">
        <f>59-3</f>
        <v>56</v>
      </c>
      <c r="R12" s="336">
        <v>56</v>
      </c>
      <c r="S12" s="336"/>
      <c r="T12" s="336">
        <v>3</v>
      </c>
      <c r="U12" s="339">
        <f>SUM(N12,Q12,S12,T12)</f>
        <v>105</v>
      </c>
      <c r="V12" s="350"/>
    </row>
    <row r="13" spans="1:22" x14ac:dyDescent="0.2">
      <c r="A13" s="342" t="s">
        <v>320</v>
      </c>
      <c r="B13" s="332">
        <v>1</v>
      </c>
      <c r="C13" s="332">
        <v>10</v>
      </c>
      <c r="D13" s="332">
        <v>3</v>
      </c>
      <c r="E13" s="334">
        <v>28</v>
      </c>
      <c r="F13" s="334">
        <v>2</v>
      </c>
      <c r="G13" s="334">
        <v>10</v>
      </c>
      <c r="H13" s="334"/>
      <c r="I13" s="336"/>
      <c r="J13" s="332"/>
      <c r="K13" s="332"/>
      <c r="L13" s="336">
        <v>1</v>
      </c>
      <c r="M13" s="339">
        <f>SUM(B13:L13)</f>
        <v>55</v>
      </c>
      <c r="N13" s="336"/>
      <c r="O13" s="336"/>
      <c r="P13" s="333"/>
      <c r="Q13" s="336"/>
      <c r="R13" s="336"/>
      <c r="S13" s="336"/>
      <c r="T13" s="336"/>
      <c r="U13" s="339"/>
      <c r="V13" s="350"/>
    </row>
    <row r="14" spans="1:22" x14ac:dyDescent="0.2">
      <c r="A14" s="344" t="s">
        <v>321</v>
      </c>
      <c r="B14" s="332">
        <v>1</v>
      </c>
      <c r="C14" s="332">
        <v>10</v>
      </c>
      <c r="D14" s="332">
        <v>3</v>
      </c>
      <c r="E14" s="334">
        <v>28</v>
      </c>
      <c r="F14" s="334">
        <v>1</v>
      </c>
      <c r="G14" s="334">
        <v>10</v>
      </c>
      <c r="H14" s="334"/>
      <c r="I14" s="336"/>
      <c r="J14" s="345"/>
      <c r="K14" s="345"/>
      <c r="L14" s="336"/>
      <c r="M14" s="339">
        <f>SUM(B14:L14)</f>
        <v>53</v>
      </c>
      <c r="N14" s="336"/>
      <c r="O14" s="336"/>
      <c r="P14" s="333"/>
      <c r="Q14" s="336"/>
      <c r="R14" s="336"/>
      <c r="S14" s="336"/>
      <c r="T14" s="336"/>
      <c r="U14" s="339"/>
      <c r="V14" s="350"/>
    </row>
    <row r="15" spans="1:22" ht="16.5" customHeight="1" x14ac:dyDescent="0.2">
      <c r="A15" s="346" t="s">
        <v>322</v>
      </c>
      <c r="B15" s="351">
        <f t="shared" ref="B15:H15" si="3">SUM(B12:B13)</f>
        <v>11</v>
      </c>
      <c r="C15" s="351">
        <f t="shared" si="3"/>
        <v>582</v>
      </c>
      <c r="D15" s="351">
        <f t="shared" si="3"/>
        <v>3</v>
      </c>
      <c r="E15" s="351">
        <f t="shared" si="3"/>
        <v>28</v>
      </c>
      <c r="F15" s="351">
        <f t="shared" si="3"/>
        <v>2</v>
      </c>
      <c r="G15" s="351">
        <f t="shared" si="3"/>
        <v>10</v>
      </c>
      <c r="H15" s="351">
        <f t="shared" si="3"/>
        <v>16</v>
      </c>
      <c r="I15" s="352">
        <f>SUM(I12:I13)</f>
        <v>1</v>
      </c>
      <c r="J15" s="332"/>
      <c r="K15" s="332"/>
      <c r="L15" s="339">
        <f>SUM(L12:L13)</f>
        <v>1</v>
      </c>
      <c r="M15" s="339">
        <f>SUM(B15:L15)</f>
        <v>654</v>
      </c>
      <c r="N15" s="339">
        <f t="shared" ref="N15:T15" si="4">SUM(N12)</f>
        <v>46</v>
      </c>
      <c r="O15" s="339">
        <f t="shared" si="4"/>
        <v>0</v>
      </c>
      <c r="P15" s="339">
        <f t="shared" si="4"/>
        <v>46</v>
      </c>
      <c r="Q15" s="339">
        <f t="shared" si="4"/>
        <v>56</v>
      </c>
      <c r="R15" s="339">
        <f t="shared" si="4"/>
        <v>56</v>
      </c>
      <c r="S15" s="339">
        <f t="shared" si="4"/>
        <v>0</v>
      </c>
      <c r="T15" s="339">
        <f t="shared" si="4"/>
        <v>3</v>
      </c>
      <c r="U15" s="339">
        <f>SUM(N15,Q15,S15,T15)</f>
        <v>105</v>
      </c>
      <c r="V15" s="347">
        <f>U15-M15</f>
        <v>-549</v>
      </c>
    </row>
    <row r="16" spans="1:22" x14ac:dyDescent="0.2">
      <c r="A16" s="349"/>
      <c r="B16" s="332"/>
      <c r="C16" s="332"/>
      <c r="D16" s="332"/>
      <c r="E16" s="332"/>
      <c r="F16" s="332"/>
      <c r="G16" s="332"/>
      <c r="H16" s="332"/>
      <c r="I16" s="333"/>
      <c r="J16" s="332"/>
      <c r="K16" s="332"/>
      <c r="L16" s="333"/>
      <c r="M16" s="328"/>
      <c r="N16" s="336"/>
      <c r="O16" s="336"/>
      <c r="P16" s="333"/>
      <c r="Q16" s="336"/>
      <c r="R16" s="336"/>
      <c r="S16" s="336"/>
      <c r="T16" s="336"/>
      <c r="U16" s="339"/>
      <c r="V16" s="350"/>
    </row>
    <row r="17" spans="1:22" x14ac:dyDescent="0.2">
      <c r="A17" s="331" t="s">
        <v>324</v>
      </c>
      <c r="B17" s="332"/>
      <c r="C17" s="332"/>
      <c r="D17" s="332"/>
      <c r="E17" s="332"/>
      <c r="F17" s="332"/>
      <c r="G17" s="332"/>
      <c r="H17" s="332"/>
      <c r="I17" s="333"/>
      <c r="J17" s="332"/>
      <c r="K17" s="332"/>
      <c r="L17" s="333"/>
      <c r="M17" s="328"/>
      <c r="N17" s="336"/>
      <c r="O17" s="336"/>
      <c r="P17" s="333"/>
      <c r="Q17" s="336"/>
      <c r="R17" s="336"/>
      <c r="S17" s="336"/>
      <c r="T17" s="336"/>
      <c r="U17" s="339"/>
      <c r="V17" s="350"/>
    </row>
    <row r="18" spans="1:22" s="341" customFormat="1" x14ac:dyDescent="0.2">
      <c r="A18" s="335" t="s">
        <v>319</v>
      </c>
      <c r="B18" s="336">
        <v>70</v>
      </c>
      <c r="C18" s="336">
        <v>6326</v>
      </c>
      <c r="D18" s="336">
        <v>12</v>
      </c>
      <c r="E18" s="336">
        <v>3869</v>
      </c>
      <c r="F18" s="336">
        <v>216</v>
      </c>
      <c r="G18" s="336">
        <v>1101</v>
      </c>
      <c r="H18" s="336">
        <v>84</v>
      </c>
      <c r="I18" s="336">
        <v>7</v>
      </c>
      <c r="J18" s="336"/>
      <c r="K18" s="336"/>
      <c r="L18" s="336"/>
      <c r="M18" s="339">
        <f>SUM(B18:L18)</f>
        <v>11685</v>
      </c>
      <c r="N18" s="336">
        <v>7114</v>
      </c>
      <c r="O18" s="336">
        <v>7087</v>
      </c>
      <c r="P18" s="336">
        <f>N18-O18</f>
        <v>27</v>
      </c>
      <c r="Q18" s="336">
        <f>1055-50</f>
        <v>1005</v>
      </c>
      <c r="R18" s="336">
        <v>996</v>
      </c>
      <c r="S18" s="336"/>
      <c r="T18" s="336">
        <v>50</v>
      </c>
      <c r="U18" s="339">
        <f>SUM(N18,Q18,S18,T18)</f>
        <v>8169</v>
      </c>
      <c r="V18" s="340"/>
    </row>
    <row r="19" spans="1:22" x14ac:dyDescent="0.2">
      <c r="A19" s="342" t="s">
        <v>320</v>
      </c>
      <c r="B19" s="336">
        <v>12</v>
      </c>
      <c r="C19" s="336">
        <v>203</v>
      </c>
      <c r="D19" s="337">
        <f>54-1</f>
        <v>53</v>
      </c>
      <c r="E19" s="336">
        <v>535</v>
      </c>
      <c r="F19" s="336">
        <v>30</v>
      </c>
      <c r="G19" s="336">
        <v>186</v>
      </c>
      <c r="H19" s="336">
        <v>13</v>
      </c>
      <c r="I19" s="336">
        <v>1</v>
      </c>
      <c r="J19" s="334"/>
      <c r="K19" s="334"/>
      <c r="L19" s="336">
        <v>15</v>
      </c>
      <c r="M19" s="339">
        <f>SUM(B19:L19)</f>
        <v>1048</v>
      </c>
      <c r="N19" s="336"/>
      <c r="O19" s="336"/>
      <c r="P19" s="333"/>
      <c r="Q19" s="336"/>
      <c r="R19" s="336"/>
      <c r="S19" s="336"/>
      <c r="T19" s="336"/>
      <c r="U19" s="339"/>
      <c r="V19" s="340"/>
    </row>
    <row r="20" spans="1:22" x14ac:dyDescent="0.2">
      <c r="A20" s="344" t="s">
        <v>321</v>
      </c>
      <c r="B20" s="333">
        <v>9</v>
      </c>
      <c r="C20" s="333">
        <v>196</v>
      </c>
      <c r="D20" s="336">
        <f>52-1</f>
        <v>51</v>
      </c>
      <c r="E20" s="336">
        <v>535</v>
      </c>
      <c r="F20" s="336">
        <v>30</v>
      </c>
      <c r="G20" s="336">
        <v>186</v>
      </c>
      <c r="H20" s="336">
        <v>5</v>
      </c>
      <c r="I20" s="336">
        <v>1</v>
      </c>
      <c r="J20" s="345"/>
      <c r="K20" s="345"/>
      <c r="L20" s="336"/>
      <c r="M20" s="339">
        <f>SUM(B20:L20)</f>
        <v>1013</v>
      </c>
      <c r="N20" s="336"/>
      <c r="O20" s="336"/>
      <c r="P20" s="333"/>
      <c r="Q20" s="336"/>
      <c r="R20" s="336"/>
      <c r="S20" s="336"/>
      <c r="T20" s="336"/>
      <c r="U20" s="339"/>
      <c r="V20" s="340"/>
    </row>
    <row r="21" spans="1:22" s="348" customFormat="1" ht="16.5" customHeight="1" x14ac:dyDescent="0.2">
      <c r="A21" s="346" t="s">
        <v>322</v>
      </c>
      <c r="B21" s="339">
        <f t="shared" ref="B21:H21" si="5">SUM(B18:B19)</f>
        <v>82</v>
      </c>
      <c r="C21" s="339">
        <f t="shared" si="5"/>
        <v>6529</v>
      </c>
      <c r="D21" s="339">
        <f t="shared" si="5"/>
        <v>65</v>
      </c>
      <c r="E21" s="339">
        <f t="shared" si="5"/>
        <v>4404</v>
      </c>
      <c r="F21" s="339">
        <f t="shared" si="5"/>
        <v>246</v>
      </c>
      <c r="G21" s="339">
        <f t="shared" si="5"/>
        <v>1287</v>
      </c>
      <c r="H21" s="339">
        <f t="shared" si="5"/>
        <v>97</v>
      </c>
      <c r="I21" s="339">
        <f>SUM(I18:I19)</f>
        <v>8</v>
      </c>
      <c r="J21" s="339"/>
      <c r="K21" s="339"/>
      <c r="L21" s="339">
        <f>SUM(L18:L19)</f>
        <v>15</v>
      </c>
      <c r="M21" s="339">
        <f>SUM(B21:L21)</f>
        <v>12733</v>
      </c>
      <c r="N21" s="339">
        <f t="shared" ref="N21:T21" si="6">SUM(N18)</f>
        <v>7114</v>
      </c>
      <c r="O21" s="339">
        <f t="shared" si="6"/>
        <v>7087</v>
      </c>
      <c r="P21" s="339">
        <f t="shared" si="6"/>
        <v>27</v>
      </c>
      <c r="Q21" s="339">
        <f t="shared" si="6"/>
        <v>1005</v>
      </c>
      <c r="R21" s="339">
        <f t="shared" si="6"/>
        <v>996</v>
      </c>
      <c r="S21" s="339">
        <f t="shared" si="6"/>
        <v>0</v>
      </c>
      <c r="T21" s="339">
        <f t="shared" si="6"/>
        <v>50</v>
      </c>
      <c r="U21" s="339">
        <f>SUM(N21,Q21,S21,T21)</f>
        <v>8169</v>
      </c>
      <c r="V21" s="347">
        <f>U21-M21</f>
        <v>-4564</v>
      </c>
    </row>
    <row r="22" spans="1:22" x14ac:dyDescent="0.2">
      <c r="A22" s="349"/>
      <c r="B22" s="332"/>
      <c r="C22" s="332" t="s">
        <v>318</v>
      </c>
      <c r="D22" s="332"/>
      <c r="E22" s="332"/>
      <c r="F22" s="332"/>
      <c r="G22" s="332"/>
      <c r="H22" s="332"/>
      <c r="I22" s="333"/>
      <c r="J22" s="332"/>
      <c r="K22" s="332"/>
      <c r="L22" s="333" t="s">
        <v>318</v>
      </c>
      <c r="M22" s="328"/>
      <c r="N22" s="336"/>
      <c r="O22" s="336"/>
      <c r="P22" s="333"/>
      <c r="Q22" s="336"/>
      <c r="R22" s="336"/>
      <c r="S22" s="336"/>
      <c r="T22" s="336"/>
      <c r="U22" s="339"/>
      <c r="V22" s="350"/>
    </row>
    <row r="23" spans="1:22" x14ac:dyDescent="0.2">
      <c r="A23" s="331" t="s">
        <v>232</v>
      </c>
      <c r="B23" s="332"/>
      <c r="C23" s="332"/>
      <c r="D23" s="332"/>
      <c r="E23" s="332"/>
      <c r="F23" s="332"/>
      <c r="G23" s="332"/>
      <c r="H23" s="332"/>
      <c r="I23" s="333"/>
      <c r="J23" s="332"/>
      <c r="K23" s="332"/>
      <c r="L23" s="333"/>
      <c r="M23" s="328"/>
      <c r="N23" s="336"/>
      <c r="O23" s="336"/>
      <c r="P23" s="333"/>
      <c r="Q23" s="336"/>
      <c r="R23" s="336"/>
      <c r="S23" s="336"/>
      <c r="T23" s="336"/>
      <c r="U23" s="339"/>
      <c r="V23" s="350"/>
    </row>
    <row r="24" spans="1:22" s="341" customFormat="1" x14ac:dyDescent="0.2">
      <c r="A24" s="335" t="s">
        <v>319</v>
      </c>
      <c r="B24" s="336">
        <v>180754</v>
      </c>
      <c r="C24" s="336">
        <v>143723</v>
      </c>
      <c r="D24" s="336">
        <v>2374</v>
      </c>
      <c r="E24" s="336">
        <v>637237</v>
      </c>
      <c r="F24" s="336">
        <v>32971</v>
      </c>
      <c r="G24" s="336">
        <v>165406</v>
      </c>
      <c r="H24" s="336">
        <v>91139</v>
      </c>
      <c r="I24" s="336">
        <v>20</v>
      </c>
      <c r="J24" s="336"/>
      <c r="K24" s="336"/>
      <c r="L24" s="336"/>
      <c r="M24" s="339">
        <f>SUM(B24:L24)</f>
        <v>1253624</v>
      </c>
      <c r="N24" s="336">
        <v>1212129</v>
      </c>
      <c r="O24" s="336">
        <v>1188701</v>
      </c>
      <c r="P24" s="336">
        <f>N24-O24</f>
        <v>23428</v>
      </c>
      <c r="Q24" s="336">
        <f>194309-80373</f>
        <v>113936</v>
      </c>
      <c r="R24" s="336">
        <v>112829</v>
      </c>
      <c r="S24" s="336">
        <v>69</v>
      </c>
      <c r="T24" s="336">
        <v>80373</v>
      </c>
      <c r="U24" s="339">
        <f>SUM(N24,Q24,S24,T24)</f>
        <v>1406507</v>
      </c>
      <c r="V24" s="340"/>
    </row>
    <row r="25" spans="1:22" x14ac:dyDescent="0.2">
      <c r="A25" s="342" t="s">
        <v>320</v>
      </c>
      <c r="B25" s="336">
        <v>5934</v>
      </c>
      <c r="C25" s="336">
        <v>23719</v>
      </c>
      <c r="D25" s="337">
        <f>5776-80</f>
        <v>5696</v>
      </c>
      <c r="E25" s="336">
        <v>89012</v>
      </c>
      <c r="F25" s="336">
        <v>5288</v>
      </c>
      <c r="G25" s="336">
        <v>27610</v>
      </c>
      <c r="H25" s="336">
        <v>6591</v>
      </c>
      <c r="I25" s="336">
        <v>80</v>
      </c>
      <c r="J25" s="333"/>
      <c r="K25" s="333"/>
      <c r="L25" s="336">
        <v>1715</v>
      </c>
      <c r="M25" s="339">
        <f>SUM(B25:L25)</f>
        <v>165645</v>
      </c>
      <c r="N25" s="336"/>
      <c r="O25" s="336"/>
      <c r="P25" s="333"/>
      <c r="Q25" s="336"/>
      <c r="R25" s="336"/>
      <c r="S25" s="336"/>
      <c r="T25" s="336"/>
      <c r="U25" s="339"/>
      <c r="V25" s="340"/>
    </row>
    <row r="26" spans="1:22" s="341" customFormat="1" x14ac:dyDescent="0.2">
      <c r="A26" s="353" t="s">
        <v>321</v>
      </c>
      <c r="B26" s="336">
        <v>997</v>
      </c>
      <c r="C26" s="336">
        <v>21283</v>
      </c>
      <c r="D26" s="336">
        <f>5549-75</f>
        <v>5474</v>
      </c>
      <c r="E26" s="336">
        <v>57720</v>
      </c>
      <c r="F26" s="336">
        <v>3278</v>
      </c>
      <c r="G26" s="336">
        <v>20143</v>
      </c>
      <c r="H26" s="336">
        <v>556</v>
      </c>
      <c r="I26" s="336">
        <v>75</v>
      </c>
      <c r="J26" s="345"/>
      <c r="K26" s="345"/>
      <c r="L26" s="336"/>
      <c r="M26" s="339">
        <f>SUM(B26:L26)</f>
        <v>109526</v>
      </c>
      <c r="N26" s="336"/>
      <c r="O26" s="336"/>
      <c r="P26" s="336"/>
      <c r="Q26" s="336"/>
      <c r="R26" s="336"/>
      <c r="S26" s="336"/>
      <c r="T26" s="336"/>
      <c r="U26" s="339"/>
      <c r="V26" s="340"/>
    </row>
    <row r="27" spans="1:22" s="348" customFormat="1" ht="16.5" customHeight="1" x14ac:dyDescent="0.2">
      <c r="A27" s="346" t="s">
        <v>322</v>
      </c>
      <c r="B27" s="339">
        <f t="shared" ref="B27:I27" si="7">SUM(B24:B25)</f>
        <v>186688</v>
      </c>
      <c r="C27" s="339">
        <f t="shared" si="7"/>
        <v>167442</v>
      </c>
      <c r="D27" s="339">
        <f t="shared" si="7"/>
        <v>8070</v>
      </c>
      <c r="E27" s="339">
        <f t="shared" si="7"/>
        <v>726249</v>
      </c>
      <c r="F27" s="339">
        <f t="shared" si="7"/>
        <v>38259</v>
      </c>
      <c r="G27" s="339">
        <f t="shared" si="7"/>
        <v>193016</v>
      </c>
      <c r="H27" s="339">
        <f t="shared" si="7"/>
        <v>97730</v>
      </c>
      <c r="I27" s="339">
        <f t="shared" si="7"/>
        <v>100</v>
      </c>
      <c r="J27" s="339"/>
      <c r="K27" s="339"/>
      <c r="L27" s="339">
        <f>SUM(L24:L25)</f>
        <v>1715</v>
      </c>
      <c r="M27" s="339">
        <f>SUM(B27:L27)</f>
        <v>1419269</v>
      </c>
      <c r="N27" s="339">
        <f t="shared" ref="N27:T27" si="8">SUM(N24)</f>
        <v>1212129</v>
      </c>
      <c r="O27" s="339">
        <f t="shared" si="8"/>
        <v>1188701</v>
      </c>
      <c r="P27" s="339">
        <f t="shared" si="8"/>
        <v>23428</v>
      </c>
      <c r="Q27" s="339">
        <f t="shared" si="8"/>
        <v>113936</v>
      </c>
      <c r="R27" s="339">
        <f t="shared" si="8"/>
        <v>112829</v>
      </c>
      <c r="S27" s="339">
        <f t="shared" si="8"/>
        <v>69</v>
      </c>
      <c r="T27" s="339">
        <f t="shared" si="8"/>
        <v>80373</v>
      </c>
      <c r="U27" s="339">
        <f>SUM(N27,Q27,S27,T27)</f>
        <v>1406507</v>
      </c>
      <c r="V27" s="347">
        <f>U27-M27</f>
        <v>-12762</v>
      </c>
    </row>
    <row r="28" spans="1:22" x14ac:dyDescent="0.2">
      <c r="A28" s="349"/>
      <c r="B28" s="332"/>
      <c r="C28" s="332"/>
      <c r="D28" s="332"/>
      <c r="E28" s="332"/>
      <c r="F28" s="332"/>
      <c r="G28" s="332"/>
      <c r="H28" s="332"/>
      <c r="I28" s="333"/>
      <c r="J28" s="332"/>
      <c r="K28" s="332"/>
      <c r="L28" s="333" t="s">
        <v>318</v>
      </c>
      <c r="M28" s="328" t="s">
        <v>318</v>
      </c>
      <c r="N28" s="336" t="s">
        <v>318</v>
      </c>
      <c r="O28" s="336"/>
      <c r="P28" s="333"/>
      <c r="Q28" s="336"/>
      <c r="R28" s="336"/>
      <c r="S28" s="336"/>
      <c r="T28" s="336"/>
      <c r="U28" s="339"/>
      <c r="V28" s="350"/>
    </row>
    <row r="29" spans="1:22" x14ac:dyDescent="0.2">
      <c r="A29" s="331" t="s">
        <v>190</v>
      </c>
      <c r="B29" s="332"/>
      <c r="C29" s="332"/>
      <c r="D29" s="332"/>
      <c r="E29" s="332"/>
      <c r="F29" s="332"/>
      <c r="G29" s="332"/>
      <c r="H29" s="332"/>
      <c r="I29" s="333"/>
      <c r="J29" s="332"/>
      <c r="K29" s="332"/>
      <c r="L29" s="333"/>
      <c r="M29" s="328"/>
      <c r="N29" s="336"/>
      <c r="O29" s="336"/>
      <c r="P29" s="333"/>
      <c r="Q29" s="336"/>
      <c r="R29" s="336"/>
      <c r="S29" s="336"/>
      <c r="T29" s="336"/>
      <c r="U29" s="339"/>
      <c r="V29" s="350"/>
    </row>
    <row r="30" spans="1:22" s="341" customFormat="1" x14ac:dyDescent="0.2">
      <c r="A30" s="335" t="s">
        <v>319</v>
      </c>
      <c r="B30" s="336">
        <v>1157</v>
      </c>
      <c r="C30" s="336">
        <v>14404</v>
      </c>
      <c r="D30" s="336">
        <v>19</v>
      </c>
      <c r="E30" s="336">
        <v>9782</v>
      </c>
      <c r="F30" s="336">
        <v>584</v>
      </c>
      <c r="G30" s="336">
        <v>2562</v>
      </c>
      <c r="H30" s="336">
        <v>1012</v>
      </c>
      <c r="I30" s="336"/>
      <c r="J30" s="336"/>
      <c r="K30" s="336"/>
      <c r="L30" s="336"/>
      <c r="M30" s="339">
        <f>SUM(B30:L30)</f>
        <v>29520</v>
      </c>
      <c r="N30" s="336">
        <v>19601</v>
      </c>
      <c r="O30" s="336">
        <v>19550</v>
      </c>
      <c r="P30" s="336">
        <f>N30-O30</f>
        <v>51</v>
      </c>
      <c r="Q30" s="336">
        <f>3033-397</f>
        <v>2636</v>
      </c>
      <c r="R30" s="336">
        <v>2614</v>
      </c>
      <c r="S30" s="336">
        <v>2</v>
      </c>
      <c r="T30" s="336">
        <v>397</v>
      </c>
      <c r="U30" s="339">
        <f>SUM(N30,Q30,S30,T30)</f>
        <v>22636</v>
      </c>
      <c r="V30" s="340"/>
    </row>
    <row r="31" spans="1:22" x14ac:dyDescent="0.2">
      <c r="A31" s="342" t="s">
        <v>320</v>
      </c>
      <c r="B31" s="336">
        <v>30</v>
      </c>
      <c r="C31" s="336">
        <v>519</v>
      </c>
      <c r="D31" s="337">
        <f>136-2</f>
        <v>134</v>
      </c>
      <c r="E31" s="336">
        <v>1360</v>
      </c>
      <c r="F31" s="336">
        <v>77</v>
      </c>
      <c r="G31" s="336">
        <v>475</v>
      </c>
      <c r="H31" s="336">
        <v>32</v>
      </c>
      <c r="I31" s="336">
        <v>2</v>
      </c>
      <c r="J31" s="333"/>
      <c r="K31" s="333"/>
      <c r="L31" s="336">
        <v>39</v>
      </c>
      <c r="M31" s="339">
        <f>SUM(B31:L31)</f>
        <v>2668</v>
      </c>
      <c r="N31" s="336"/>
      <c r="O31" s="336"/>
      <c r="P31" s="333"/>
      <c r="Q31" s="336"/>
      <c r="R31" s="336"/>
      <c r="S31" s="336"/>
      <c r="T31" s="336"/>
      <c r="U31" s="339"/>
      <c r="V31" s="340"/>
    </row>
    <row r="32" spans="1:22" x14ac:dyDescent="0.2">
      <c r="A32" s="344" t="s">
        <v>321</v>
      </c>
      <c r="B32" s="333">
        <v>23</v>
      </c>
      <c r="C32" s="333">
        <v>501</v>
      </c>
      <c r="D32" s="343">
        <f>131-2</f>
        <v>129</v>
      </c>
      <c r="E32" s="333">
        <v>1360</v>
      </c>
      <c r="F32" s="333">
        <v>77</v>
      </c>
      <c r="G32" s="333">
        <v>475</v>
      </c>
      <c r="H32" s="333">
        <v>13</v>
      </c>
      <c r="I32" s="333">
        <v>2</v>
      </c>
      <c r="J32" s="345"/>
      <c r="K32" s="345"/>
      <c r="L32" s="333"/>
      <c r="M32" s="339">
        <f>SUM(B32:L32)</f>
        <v>2580</v>
      </c>
      <c r="N32" s="336"/>
      <c r="O32" s="336"/>
      <c r="P32" s="333"/>
      <c r="Q32" s="336"/>
      <c r="R32" s="336"/>
      <c r="S32" s="336"/>
      <c r="T32" s="336"/>
      <c r="U32" s="339"/>
      <c r="V32" s="340"/>
    </row>
    <row r="33" spans="1:22" s="348" customFormat="1" ht="16.5" customHeight="1" x14ac:dyDescent="0.2">
      <c r="A33" s="346" t="s">
        <v>322</v>
      </c>
      <c r="B33" s="339">
        <f t="shared" ref="B33:I33" si="9">SUM(B30:B31)</f>
        <v>1187</v>
      </c>
      <c r="C33" s="339">
        <f t="shared" si="9"/>
        <v>14923</v>
      </c>
      <c r="D33" s="339">
        <f t="shared" si="9"/>
        <v>153</v>
      </c>
      <c r="E33" s="339">
        <f t="shared" si="9"/>
        <v>11142</v>
      </c>
      <c r="F33" s="339">
        <f t="shared" si="9"/>
        <v>661</v>
      </c>
      <c r="G33" s="339">
        <f t="shared" si="9"/>
        <v>3037</v>
      </c>
      <c r="H33" s="339">
        <f t="shared" si="9"/>
        <v>1044</v>
      </c>
      <c r="I33" s="339">
        <f t="shared" si="9"/>
        <v>2</v>
      </c>
      <c r="J33" s="339"/>
      <c r="K33" s="339"/>
      <c r="L33" s="339">
        <f>SUM(L30:L31)</f>
        <v>39</v>
      </c>
      <c r="M33" s="339">
        <f>SUM(B33:L33)</f>
        <v>32188</v>
      </c>
      <c r="N33" s="339">
        <f t="shared" ref="N33:T33" si="10">SUM(N30)</f>
        <v>19601</v>
      </c>
      <c r="O33" s="339">
        <f t="shared" si="10"/>
        <v>19550</v>
      </c>
      <c r="P33" s="339">
        <f t="shared" si="10"/>
        <v>51</v>
      </c>
      <c r="Q33" s="339">
        <f t="shared" si="10"/>
        <v>2636</v>
      </c>
      <c r="R33" s="339">
        <f t="shared" si="10"/>
        <v>2614</v>
      </c>
      <c r="S33" s="339">
        <f t="shared" si="10"/>
        <v>2</v>
      </c>
      <c r="T33" s="339">
        <f t="shared" si="10"/>
        <v>397</v>
      </c>
      <c r="U33" s="339">
        <f>SUM(N33,Q33,S33,T33)</f>
        <v>22636</v>
      </c>
      <c r="V33" s="347">
        <f>U33-M33</f>
        <v>-9552</v>
      </c>
    </row>
    <row r="34" spans="1:22" x14ac:dyDescent="0.2">
      <c r="A34" s="349"/>
      <c r="B34" s="332"/>
      <c r="C34" s="332"/>
      <c r="D34" s="332"/>
      <c r="E34" s="332"/>
      <c r="F34" s="332"/>
      <c r="G34" s="332"/>
      <c r="H34" s="332"/>
      <c r="I34" s="333"/>
      <c r="J34" s="332"/>
      <c r="K34" s="332"/>
      <c r="L34" s="333"/>
      <c r="M34" s="328"/>
      <c r="N34" s="336"/>
      <c r="O34" s="336"/>
      <c r="P34" s="333"/>
      <c r="Q34" s="336"/>
      <c r="R34" s="336"/>
      <c r="S34" s="336"/>
      <c r="T34" s="336"/>
      <c r="U34" s="339"/>
      <c r="V34" s="350"/>
    </row>
    <row r="35" spans="1:22" x14ac:dyDescent="0.2">
      <c r="A35" s="331" t="s">
        <v>325</v>
      </c>
      <c r="B35" s="332"/>
      <c r="C35" s="332"/>
      <c r="D35" s="332"/>
      <c r="E35" s="332"/>
      <c r="F35" s="332"/>
      <c r="G35" s="332"/>
      <c r="H35" s="332"/>
      <c r="I35" s="333"/>
      <c r="J35" s="332"/>
      <c r="K35" s="332"/>
      <c r="L35" s="333"/>
      <c r="M35" s="328"/>
      <c r="N35" s="336"/>
      <c r="O35" s="336"/>
      <c r="P35" s="333"/>
      <c r="Q35" s="336"/>
      <c r="R35" s="336"/>
      <c r="S35" s="336"/>
      <c r="T35" s="336"/>
      <c r="U35" s="339"/>
      <c r="V35" s="350"/>
    </row>
    <row r="36" spans="1:22" s="341" customFormat="1" x14ac:dyDescent="0.2">
      <c r="A36" s="335" t="s">
        <v>319</v>
      </c>
      <c r="B36" s="334">
        <v>3347</v>
      </c>
      <c r="C36" s="336">
        <v>20875</v>
      </c>
      <c r="D36" s="334">
        <v>265</v>
      </c>
      <c r="E36" s="336">
        <v>149828</v>
      </c>
      <c r="F36" s="336">
        <v>6687</v>
      </c>
      <c r="G36" s="336">
        <v>38812</v>
      </c>
      <c r="H36" s="336">
        <v>7211</v>
      </c>
      <c r="I36" s="336">
        <v>358</v>
      </c>
      <c r="J36" s="336"/>
      <c r="K36" s="336"/>
      <c r="L36" s="336"/>
      <c r="M36" s="339">
        <f>SUM(B36:L36)</f>
        <v>227383</v>
      </c>
      <c r="N36" s="336">
        <v>221070</v>
      </c>
      <c r="O36" s="336">
        <v>220334</v>
      </c>
      <c r="P36" s="336">
        <f>N36-O36</f>
        <v>736</v>
      </c>
      <c r="Q36" s="336">
        <f>26052-6950</f>
        <v>19102</v>
      </c>
      <c r="R36" s="336">
        <v>18937</v>
      </c>
      <c r="S36" s="336">
        <v>11</v>
      </c>
      <c r="T36" s="336">
        <v>6950</v>
      </c>
      <c r="U36" s="339">
        <f>SUM(N36,Q36,S36,T36)</f>
        <v>247133</v>
      </c>
      <c r="V36" s="340"/>
    </row>
    <row r="37" spans="1:22" x14ac:dyDescent="0.2">
      <c r="A37" s="342" t="s">
        <v>320</v>
      </c>
      <c r="B37" s="334">
        <v>227</v>
      </c>
      <c r="C37" s="336">
        <v>3888</v>
      </c>
      <c r="D37" s="354">
        <f>1029-13</f>
        <v>1016</v>
      </c>
      <c r="E37" s="336">
        <v>10239</v>
      </c>
      <c r="F37" s="336">
        <v>570</v>
      </c>
      <c r="G37" s="336">
        <v>3568</v>
      </c>
      <c r="H37" s="336">
        <v>240</v>
      </c>
      <c r="I37" s="336">
        <v>13</v>
      </c>
      <c r="J37" s="333"/>
      <c r="K37" s="333"/>
      <c r="L37" s="336">
        <v>299</v>
      </c>
      <c r="M37" s="339">
        <f>SUM(B37:L37)</f>
        <v>20060</v>
      </c>
      <c r="N37" s="336"/>
      <c r="O37" s="336"/>
      <c r="P37" s="333"/>
      <c r="Q37" s="336"/>
      <c r="R37" s="336"/>
      <c r="S37" s="336"/>
      <c r="T37" s="336"/>
      <c r="U37" s="339"/>
      <c r="V37" s="340"/>
    </row>
    <row r="38" spans="1:22" x14ac:dyDescent="0.2">
      <c r="A38" s="344" t="s">
        <v>321</v>
      </c>
      <c r="B38" s="334">
        <v>176</v>
      </c>
      <c r="C38" s="336">
        <v>3749</v>
      </c>
      <c r="D38" s="354">
        <f>990-13</f>
        <v>977</v>
      </c>
      <c r="E38" s="336">
        <v>10239</v>
      </c>
      <c r="F38" s="336">
        <v>570</v>
      </c>
      <c r="G38" s="336">
        <v>3568</v>
      </c>
      <c r="H38" s="336">
        <v>99</v>
      </c>
      <c r="I38" s="336">
        <v>13</v>
      </c>
      <c r="J38" s="345"/>
      <c r="K38" s="345"/>
      <c r="L38" s="333"/>
      <c r="M38" s="339">
        <f>SUM(B38:L38)</f>
        <v>19391</v>
      </c>
      <c r="N38" s="336"/>
      <c r="O38" s="336"/>
      <c r="P38" s="333"/>
      <c r="Q38" s="336"/>
      <c r="R38" s="336"/>
      <c r="S38" s="336"/>
      <c r="T38" s="336"/>
      <c r="U38" s="339"/>
      <c r="V38" s="340"/>
    </row>
    <row r="39" spans="1:22" s="348" customFormat="1" ht="16.5" customHeight="1" x14ac:dyDescent="0.2">
      <c r="A39" s="346" t="s">
        <v>322</v>
      </c>
      <c r="B39" s="339">
        <f t="shared" ref="B39:I39" si="11">SUM(B36:B37)</f>
        <v>3574</v>
      </c>
      <c r="C39" s="339">
        <f t="shared" si="11"/>
        <v>24763</v>
      </c>
      <c r="D39" s="339">
        <f t="shared" si="11"/>
        <v>1281</v>
      </c>
      <c r="E39" s="339">
        <f t="shared" si="11"/>
        <v>160067</v>
      </c>
      <c r="F39" s="339">
        <f t="shared" si="11"/>
        <v>7257</v>
      </c>
      <c r="G39" s="339">
        <f t="shared" si="11"/>
        <v>42380</v>
      </c>
      <c r="H39" s="339">
        <f t="shared" si="11"/>
        <v>7451</v>
      </c>
      <c r="I39" s="339">
        <f t="shared" si="11"/>
        <v>371</v>
      </c>
      <c r="J39" s="339"/>
      <c r="K39" s="339"/>
      <c r="L39" s="339">
        <f>SUM(L36:L37)</f>
        <v>299</v>
      </c>
      <c r="M39" s="339">
        <f>SUM(B39:L39)</f>
        <v>247443</v>
      </c>
      <c r="N39" s="339">
        <f t="shared" ref="N39:T39" si="12">SUM(N36)</f>
        <v>221070</v>
      </c>
      <c r="O39" s="339">
        <f t="shared" si="12"/>
        <v>220334</v>
      </c>
      <c r="P39" s="339">
        <f t="shared" si="12"/>
        <v>736</v>
      </c>
      <c r="Q39" s="339">
        <f t="shared" si="12"/>
        <v>19102</v>
      </c>
      <c r="R39" s="339">
        <f t="shared" si="12"/>
        <v>18937</v>
      </c>
      <c r="S39" s="339">
        <f t="shared" si="12"/>
        <v>11</v>
      </c>
      <c r="T39" s="339">
        <f t="shared" si="12"/>
        <v>6950</v>
      </c>
      <c r="U39" s="339">
        <f>SUM(N39,Q39,S39,T39)</f>
        <v>247133</v>
      </c>
      <c r="V39" s="347">
        <f>U39-M39</f>
        <v>-310</v>
      </c>
    </row>
    <row r="40" spans="1:22" x14ac:dyDescent="0.2">
      <c r="A40" s="349"/>
      <c r="B40" s="332"/>
      <c r="C40" s="332"/>
      <c r="D40" s="332"/>
      <c r="E40" s="332"/>
      <c r="F40" s="332"/>
      <c r="G40" s="332"/>
      <c r="H40" s="332"/>
      <c r="I40" s="333"/>
      <c r="J40" s="332"/>
      <c r="K40" s="332"/>
      <c r="L40" s="333"/>
      <c r="M40" s="328"/>
      <c r="N40" s="336"/>
      <c r="O40" s="336"/>
      <c r="P40" s="333"/>
      <c r="Q40" s="336"/>
      <c r="R40" s="336"/>
      <c r="S40" s="336"/>
      <c r="T40" s="336"/>
      <c r="U40" s="339"/>
      <c r="V40" s="350"/>
    </row>
    <row r="41" spans="1:22" x14ac:dyDescent="0.2">
      <c r="A41" s="331" t="s">
        <v>326</v>
      </c>
      <c r="B41" s="332"/>
      <c r="C41" s="332"/>
      <c r="D41" s="332"/>
      <c r="E41" s="332"/>
      <c r="F41" s="332"/>
      <c r="G41" s="332"/>
      <c r="H41" s="332"/>
      <c r="I41" s="333"/>
      <c r="J41" s="332"/>
      <c r="K41" s="332"/>
      <c r="L41" s="333"/>
      <c r="M41" s="328"/>
      <c r="N41" s="336"/>
      <c r="O41" s="336"/>
      <c r="P41" s="333"/>
      <c r="Q41" s="336"/>
      <c r="R41" s="336"/>
      <c r="S41" s="336"/>
      <c r="T41" s="336"/>
      <c r="U41" s="339"/>
      <c r="V41" s="350"/>
    </row>
    <row r="42" spans="1:22" s="341" customFormat="1" x14ac:dyDescent="0.2">
      <c r="A42" s="335" t="s">
        <v>319</v>
      </c>
      <c r="B42" s="334"/>
      <c r="C42" s="334">
        <v>9</v>
      </c>
      <c r="D42" s="334">
        <v>25</v>
      </c>
      <c r="E42" s="336">
        <v>28240</v>
      </c>
      <c r="F42" s="336">
        <v>522</v>
      </c>
      <c r="G42" s="336">
        <v>7104</v>
      </c>
      <c r="H42" s="336"/>
      <c r="I42" s="336"/>
      <c r="J42" s="334"/>
      <c r="K42" s="334"/>
      <c r="L42" s="336">
        <v>2527</v>
      </c>
      <c r="M42" s="339">
        <f>SUM(B42:L42)</f>
        <v>38427</v>
      </c>
      <c r="N42" s="336">
        <v>38734</v>
      </c>
      <c r="O42" s="336">
        <v>38671</v>
      </c>
      <c r="P42" s="336">
        <f>N42-O42</f>
        <v>63</v>
      </c>
      <c r="Q42" s="336">
        <f>3423-165</f>
        <v>3258</v>
      </c>
      <c r="R42" s="336">
        <v>3231</v>
      </c>
      <c r="S42" s="336">
        <v>2</v>
      </c>
      <c r="T42" s="336">
        <v>165</v>
      </c>
      <c r="U42" s="339">
        <f>SUM(N42,Q42,S42,T42)</f>
        <v>42159</v>
      </c>
      <c r="V42" s="340"/>
    </row>
    <row r="43" spans="1:22" x14ac:dyDescent="0.2">
      <c r="A43" s="342" t="s">
        <v>320</v>
      </c>
      <c r="B43" s="334">
        <v>37</v>
      </c>
      <c r="C43" s="334">
        <v>631</v>
      </c>
      <c r="D43" s="334">
        <f>166-2</f>
        <v>164</v>
      </c>
      <c r="E43" s="336">
        <v>3883</v>
      </c>
      <c r="F43" s="336">
        <v>93</v>
      </c>
      <c r="G43" s="336">
        <v>1124</v>
      </c>
      <c r="H43" s="336">
        <v>38</v>
      </c>
      <c r="I43" s="336">
        <v>2</v>
      </c>
      <c r="J43" s="332"/>
      <c r="K43" s="332"/>
      <c r="L43" s="336">
        <v>51</v>
      </c>
      <c r="M43" s="339">
        <f>SUM(B43:L43)</f>
        <v>6023</v>
      </c>
      <c r="N43" s="336"/>
      <c r="O43" s="336"/>
      <c r="P43" s="333"/>
      <c r="Q43" s="336"/>
      <c r="R43" s="336"/>
      <c r="S43" s="336"/>
      <c r="T43" s="336"/>
      <c r="U43" s="339"/>
      <c r="V43" s="340"/>
    </row>
    <row r="44" spans="1:22" x14ac:dyDescent="0.2">
      <c r="A44" s="344" t="s">
        <v>321</v>
      </c>
      <c r="B44" s="332">
        <v>29</v>
      </c>
      <c r="C44" s="332">
        <v>610</v>
      </c>
      <c r="D44" s="332">
        <f>159-2</f>
        <v>157</v>
      </c>
      <c r="E44" s="333">
        <v>1653</v>
      </c>
      <c r="F44" s="333">
        <v>93</v>
      </c>
      <c r="G44" s="333">
        <v>577</v>
      </c>
      <c r="H44" s="333">
        <v>16</v>
      </c>
      <c r="I44" s="333">
        <v>2</v>
      </c>
      <c r="J44" s="345"/>
      <c r="K44" s="345"/>
      <c r="L44" s="333"/>
      <c r="M44" s="339">
        <f>SUM(B44:L44)</f>
        <v>3137</v>
      </c>
      <c r="N44" s="336"/>
      <c r="O44" s="336"/>
      <c r="P44" s="333"/>
      <c r="Q44" s="336"/>
      <c r="R44" s="336"/>
      <c r="S44" s="336"/>
      <c r="T44" s="336"/>
      <c r="U44" s="339"/>
      <c r="V44" s="340"/>
    </row>
    <row r="45" spans="1:22" s="348" customFormat="1" ht="16.5" customHeight="1" x14ac:dyDescent="0.2">
      <c r="A45" s="346" t="s">
        <v>322</v>
      </c>
      <c r="B45" s="339">
        <f t="shared" ref="B45:I45" si="13">SUM(B42:B43)</f>
        <v>37</v>
      </c>
      <c r="C45" s="339">
        <f t="shared" si="13"/>
        <v>640</v>
      </c>
      <c r="D45" s="339">
        <f t="shared" si="13"/>
        <v>189</v>
      </c>
      <c r="E45" s="339">
        <f t="shared" si="13"/>
        <v>32123</v>
      </c>
      <c r="F45" s="339">
        <f t="shared" si="13"/>
        <v>615</v>
      </c>
      <c r="G45" s="339">
        <f t="shared" si="13"/>
        <v>8228</v>
      </c>
      <c r="H45" s="339">
        <f t="shared" si="13"/>
        <v>38</v>
      </c>
      <c r="I45" s="339">
        <f t="shared" si="13"/>
        <v>2</v>
      </c>
      <c r="J45" s="339"/>
      <c r="K45" s="339"/>
      <c r="L45" s="339">
        <f>SUM(L42:L43)</f>
        <v>2578</v>
      </c>
      <c r="M45" s="339">
        <f>SUM(B45:L45)</f>
        <v>44450</v>
      </c>
      <c r="N45" s="339">
        <f t="shared" ref="N45:T45" si="14">SUM(N42)</f>
        <v>38734</v>
      </c>
      <c r="O45" s="339">
        <f t="shared" si="14"/>
        <v>38671</v>
      </c>
      <c r="P45" s="339">
        <f t="shared" si="14"/>
        <v>63</v>
      </c>
      <c r="Q45" s="339">
        <f t="shared" si="14"/>
        <v>3258</v>
      </c>
      <c r="R45" s="339">
        <f t="shared" si="14"/>
        <v>3231</v>
      </c>
      <c r="S45" s="339">
        <f t="shared" si="14"/>
        <v>2</v>
      </c>
      <c r="T45" s="339">
        <f t="shared" si="14"/>
        <v>165</v>
      </c>
      <c r="U45" s="339">
        <f>SUM(N45,Q45,S45,T45)</f>
        <v>42159</v>
      </c>
      <c r="V45" s="347">
        <f>U45-M45</f>
        <v>-2291</v>
      </c>
    </row>
    <row r="46" spans="1:22" x14ac:dyDescent="0.2">
      <c r="A46" s="349"/>
      <c r="B46" s="332"/>
      <c r="C46" s="332"/>
      <c r="D46" s="332"/>
      <c r="E46" s="332"/>
      <c r="F46" s="332"/>
      <c r="G46" s="332"/>
      <c r="H46" s="332"/>
      <c r="I46" s="333"/>
      <c r="J46" s="332"/>
      <c r="K46" s="332"/>
      <c r="L46" s="333"/>
      <c r="M46" s="328"/>
      <c r="N46" s="336"/>
      <c r="O46" s="336"/>
      <c r="P46" s="333"/>
      <c r="Q46" s="336"/>
      <c r="R46" s="336"/>
      <c r="S46" s="336"/>
      <c r="T46" s="336"/>
      <c r="U46" s="339"/>
      <c r="V46" s="350"/>
    </row>
    <row r="47" spans="1:22" x14ac:dyDescent="0.2">
      <c r="A47" s="331" t="s">
        <v>327</v>
      </c>
      <c r="B47" s="332"/>
      <c r="C47" s="332"/>
      <c r="D47" s="332"/>
      <c r="E47" s="332"/>
      <c r="F47" s="332"/>
      <c r="G47" s="332"/>
      <c r="H47" s="332"/>
      <c r="I47" s="333"/>
      <c r="J47" s="332"/>
      <c r="K47" s="332"/>
      <c r="L47" s="333"/>
      <c r="M47" s="328"/>
      <c r="N47" s="336"/>
      <c r="O47" s="336"/>
      <c r="P47" s="333"/>
      <c r="Q47" s="336"/>
      <c r="R47" s="336"/>
      <c r="S47" s="336"/>
      <c r="T47" s="336"/>
      <c r="U47" s="339"/>
      <c r="V47" s="350"/>
    </row>
    <row r="48" spans="1:22" s="341" customFormat="1" x14ac:dyDescent="0.2">
      <c r="A48" s="335" t="s">
        <v>319</v>
      </c>
      <c r="B48" s="334">
        <v>243</v>
      </c>
      <c r="C48" s="336">
        <v>11234</v>
      </c>
      <c r="D48" s="334"/>
      <c r="E48" s="336">
        <v>374</v>
      </c>
      <c r="F48" s="336"/>
      <c r="G48" s="336">
        <v>91</v>
      </c>
      <c r="H48" s="336">
        <v>57</v>
      </c>
      <c r="I48" s="336"/>
      <c r="J48" s="336"/>
      <c r="K48" s="336"/>
      <c r="L48" s="336"/>
      <c r="M48" s="339">
        <f>SUM(B48:L48)</f>
        <v>11999</v>
      </c>
      <c r="N48" s="336">
        <v>17755</v>
      </c>
      <c r="O48" s="336"/>
      <c r="P48" s="336">
        <f>N48-O48</f>
        <v>17755</v>
      </c>
      <c r="Q48" s="336">
        <f>47-39</f>
        <v>8</v>
      </c>
      <c r="R48" s="336"/>
      <c r="S48" s="336">
        <v>1</v>
      </c>
      <c r="T48" s="336">
        <v>39</v>
      </c>
      <c r="U48" s="339">
        <f>SUM(N48,Q48,S48,T48)</f>
        <v>17803</v>
      </c>
      <c r="V48" s="340"/>
    </row>
    <row r="49" spans="1:22" x14ac:dyDescent="0.2">
      <c r="A49" s="342" t="s">
        <v>320</v>
      </c>
      <c r="B49" s="334">
        <v>12</v>
      </c>
      <c r="C49" s="336">
        <v>213</v>
      </c>
      <c r="D49" s="334">
        <v>55</v>
      </c>
      <c r="E49" s="336">
        <v>555</v>
      </c>
      <c r="F49" s="336">
        <v>32</v>
      </c>
      <c r="G49" s="336">
        <v>194</v>
      </c>
      <c r="H49" s="336">
        <v>13</v>
      </c>
      <c r="I49" s="336"/>
      <c r="J49" s="332"/>
      <c r="K49" s="332"/>
      <c r="L49" s="336">
        <v>16</v>
      </c>
      <c r="M49" s="339">
        <f>SUM(B49:L49)</f>
        <v>1090</v>
      </c>
      <c r="N49" s="336"/>
      <c r="O49" s="336"/>
      <c r="P49" s="333"/>
      <c r="Q49" s="336"/>
      <c r="R49" s="336"/>
      <c r="S49" s="336"/>
      <c r="T49" s="336"/>
      <c r="U49" s="339"/>
      <c r="V49" s="340"/>
    </row>
    <row r="50" spans="1:22" x14ac:dyDescent="0.2">
      <c r="A50" s="344" t="s">
        <v>321</v>
      </c>
      <c r="B50" s="332">
        <v>10</v>
      </c>
      <c r="C50" s="333">
        <v>205</v>
      </c>
      <c r="D50" s="332">
        <v>53</v>
      </c>
      <c r="E50" s="333">
        <v>555</v>
      </c>
      <c r="F50" s="333">
        <v>32</v>
      </c>
      <c r="G50" s="333">
        <v>194</v>
      </c>
      <c r="H50" s="333">
        <v>6</v>
      </c>
      <c r="I50" s="333"/>
      <c r="J50" s="345"/>
      <c r="K50" s="345"/>
      <c r="L50" s="333"/>
      <c r="M50" s="339">
        <f>SUM(B50:L50)</f>
        <v>1055</v>
      </c>
      <c r="N50" s="336"/>
      <c r="O50" s="336"/>
      <c r="P50" s="333"/>
      <c r="Q50" s="336"/>
      <c r="R50" s="336"/>
      <c r="S50" s="336"/>
      <c r="T50" s="336"/>
      <c r="U50" s="339"/>
      <c r="V50" s="340"/>
    </row>
    <row r="51" spans="1:22" s="348" customFormat="1" ht="16.5" customHeight="1" x14ac:dyDescent="0.2">
      <c r="A51" s="346" t="s">
        <v>322</v>
      </c>
      <c r="B51" s="339">
        <f t="shared" ref="B51:I51" si="15">SUM(B48:B49)</f>
        <v>255</v>
      </c>
      <c r="C51" s="339">
        <f t="shared" si="15"/>
        <v>11447</v>
      </c>
      <c r="D51" s="339">
        <f t="shared" si="15"/>
        <v>55</v>
      </c>
      <c r="E51" s="339">
        <f t="shared" si="15"/>
        <v>929</v>
      </c>
      <c r="F51" s="339">
        <f t="shared" si="15"/>
        <v>32</v>
      </c>
      <c r="G51" s="339">
        <f t="shared" si="15"/>
        <v>285</v>
      </c>
      <c r="H51" s="339">
        <f t="shared" si="15"/>
        <v>70</v>
      </c>
      <c r="I51" s="339">
        <f t="shared" si="15"/>
        <v>0</v>
      </c>
      <c r="J51" s="339"/>
      <c r="K51" s="339"/>
      <c r="L51" s="339">
        <f>SUM(L48:L49)</f>
        <v>16</v>
      </c>
      <c r="M51" s="339">
        <f>SUM(B51:L51)</f>
        <v>13089</v>
      </c>
      <c r="N51" s="339">
        <f t="shared" ref="N51:T51" si="16">SUM(N48)</f>
        <v>17755</v>
      </c>
      <c r="O51" s="339">
        <f t="shared" si="16"/>
        <v>0</v>
      </c>
      <c r="P51" s="339">
        <f t="shared" si="16"/>
        <v>17755</v>
      </c>
      <c r="Q51" s="339">
        <f t="shared" si="16"/>
        <v>8</v>
      </c>
      <c r="R51" s="339">
        <f t="shared" si="16"/>
        <v>0</v>
      </c>
      <c r="S51" s="339">
        <f t="shared" si="16"/>
        <v>1</v>
      </c>
      <c r="T51" s="339">
        <f t="shared" si="16"/>
        <v>39</v>
      </c>
      <c r="U51" s="339">
        <f>SUM(N51,Q51,S51,T51)</f>
        <v>17803</v>
      </c>
      <c r="V51" s="347">
        <f>U51-M51</f>
        <v>4714</v>
      </c>
    </row>
    <row r="52" spans="1:22" s="348" customFormat="1" ht="12" customHeight="1" x14ac:dyDescent="0.2">
      <c r="A52" s="346"/>
      <c r="B52" s="339"/>
      <c r="C52" s="339"/>
      <c r="D52" s="339"/>
      <c r="E52" s="339"/>
      <c r="F52" s="339"/>
      <c r="G52" s="339"/>
      <c r="H52" s="339"/>
      <c r="I52" s="339"/>
      <c r="J52" s="339"/>
      <c r="K52" s="339"/>
      <c r="L52" s="339"/>
      <c r="M52" s="339"/>
      <c r="N52" s="339"/>
      <c r="O52" s="339"/>
      <c r="P52" s="339"/>
      <c r="Q52" s="339"/>
      <c r="R52" s="339"/>
      <c r="S52" s="339"/>
      <c r="T52" s="339"/>
      <c r="U52" s="339"/>
      <c r="V52" s="340"/>
    </row>
    <row r="53" spans="1:22" s="348" customFormat="1" ht="12" customHeight="1" x14ac:dyDescent="0.2">
      <c r="A53" s="355" t="s">
        <v>328</v>
      </c>
      <c r="B53" s="339"/>
      <c r="C53" s="339"/>
      <c r="D53" s="339"/>
      <c r="E53" s="339"/>
      <c r="F53" s="339"/>
      <c r="G53" s="339"/>
      <c r="H53" s="339"/>
      <c r="I53" s="339"/>
      <c r="J53" s="339"/>
      <c r="K53" s="339"/>
      <c r="L53" s="339"/>
      <c r="M53" s="339"/>
      <c r="N53" s="339"/>
      <c r="O53" s="339"/>
      <c r="P53" s="339"/>
      <c r="Q53" s="339"/>
      <c r="R53" s="339"/>
      <c r="S53" s="339"/>
      <c r="T53" s="339"/>
      <c r="U53" s="339"/>
      <c r="V53" s="340"/>
    </row>
    <row r="54" spans="1:22" s="348" customFormat="1" x14ac:dyDescent="0.2">
      <c r="A54" s="342" t="s">
        <v>319</v>
      </c>
      <c r="B54" s="337">
        <f>SUM(B6,B12,B18,B24,B30,B36,B42,B48)</f>
        <v>185591</v>
      </c>
      <c r="C54" s="337">
        <f t="shared" ref="B54:L57" si="17">SUM(C6,C12,C18,C24,C30,C36,C42,C48)</f>
        <v>271845</v>
      </c>
      <c r="D54" s="337">
        <f t="shared" si="17"/>
        <v>2695</v>
      </c>
      <c r="E54" s="337">
        <f t="shared" si="17"/>
        <v>829330</v>
      </c>
      <c r="F54" s="337">
        <f t="shared" si="17"/>
        <v>40980</v>
      </c>
      <c r="G54" s="337">
        <f t="shared" si="17"/>
        <v>215076</v>
      </c>
      <c r="H54" s="337">
        <f t="shared" si="17"/>
        <v>99706</v>
      </c>
      <c r="I54" s="337">
        <f t="shared" si="17"/>
        <v>4562</v>
      </c>
      <c r="J54" s="337">
        <f t="shared" si="17"/>
        <v>0</v>
      </c>
      <c r="K54" s="337">
        <f t="shared" si="17"/>
        <v>0</v>
      </c>
      <c r="L54" s="337">
        <f t="shared" si="17"/>
        <v>2527</v>
      </c>
      <c r="M54" s="339">
        <f>SUM(B54:L54)</f>
        <v>1652312</v>
      </c>
      <c r="N54" s="337">
        <f t="shared" ref="N54:T54" si="18">SUM(N48,N42,N36,N30,N24,N18,N12,N6)</f>
        <v>1593212</v>
      </c>
      <c r="O54" s="337">
        <f t="shared" si="18"/>
        <v>1546395</v>
      </c>
      <c r="P54" s="337">
        <f>SUM(P48,P42,P36,P30,P24,P18,P12,P6)</f>
        <v>46817</v>
      </c>
      <c r="Q54" s="337">
        <f t="shared" si="18"/>
        <v>149252</v>
      </c>
      <c r="R54" s="337">
        <f t="shared" si="18"/>
        <v>147853</v>
      </c>
      <c r="S54" s="337">
        <f>SUM(S48,S42,S36,S30,S24,S18,S12,S6)</f>
        <v>89</v>
      </c>
      <c r="T54" s="337">
        <f t="shared" si="18"/>
        <v>88510</v>
      </c>
      <c r="U54" s="339">
        <f>SUM(N54,Q54,S54,T54)</f>
        <v>1831063</v>
      </c>
      <c r="V54" s="340"/>
    </row>
    <row r="55" spans="1:22" s="348" customFormat="1" x14ac:dyDescent="0.2">
      <c r="A55" s="342" t="s">
        <v>320</v>
      </c>
      <c r="B55" s="337">
        <f t="shared" si="17"/>
        <v>6334</v>
      </c>
      <c r="C55" s="337">
        <f t="shared" si="17"/>
        <v>30579</v>
      </c>
      <c r="D55" s="337">
        <f t="shared" si="17"/>
        <v>7480</v>
      </c>
      <c r="E55" s="337">
        <f t="shared" si="17"/>
        <v>113817</v>
      </c>
      <c r="F55" s="337">
        <f t="shared" si="17"/>
        <v>6300</v>
      </c>
      <c r="G55" s="337">
        <f t="shared" si="17"/>
        <v>35560</v>
      </c>
      <c r="H55" s="337">
        <f t="shared" si="17"/>
        <v>7011</v>
      </c>
      <c r="I55" s="337">
        <f t="shared" si="17"/>
        <v>103</v>
      </c>
      <c r="J55" s="337">
        <f t="shared" si="17"/>
        <v>0</v>
      </c>
      <c r="K55" s="337">
        <f t="shared" si="17"/>
        <v>0</v>
      </c>
      <c r="L55" s="337">
        <f t="shared" si="17"/>
        <v>2247</v>
      </c>
      <c r="M55" s="339">
        <f>SUM(B55:L55)</f>
        <v>209431</v>
      </c>
      <c r="N55" s="339"/>
      <c r="O55" s="339"/>
      <c r="P55" s="339"/>
      <c r="Q55" s="339"/>
      <c r="R55" s="339"/>
      <c r="S55" s="339"/>
      <c r="T55" s="339"/>
      <c r="U55" s="339"/>
      <c r="V55" s="340"/>
    </row>
    <row r="56" spans="1:22" s="348" customFormat="1" x14ac:dyDescent="0.2">
      <c r="A56" s="344" t="s">
        <v>321</v>
      </c>
      <c r="B56" s="337">
        <f t="shared" si="17"/>
        <v>1308</v>
      </c>
      <c r="C56" s="337">
        <f t="shared" si="17"/>
        <v>27901</v>
      </c>
      <c r="D56" s="337">
        <f t="shared" si="17"/>
        <v>7189</v>
      </c>
      <c r="E56" s="337">
        <f t="shared" si="17"/>
        <v>75737</v>
      </c>
      <c r="F56" s="337">
        <f t="shared" si="17"/>
        <v>4289</v>
      </c>
      <c r="G56" s="337">
        <f t="shared" si="17"/>
        <v>26426</v>
      </c>
      <c r="H56" s="337">
        <f t="shared" si="17"/>
        <v>730</v>
      </c>
      <c r="I56" s="337">
        <f>SUM(I8,I20,I26,I32,I38,I44,I50)</f>
        <v>98</v>
      </c>
      <c r="J56" s="356"/>
      <c r="K56" s="356"/>
      <c r="L56" s="337">
        <f>SUM(L8,L20,L26,L32,L38,L44,L50)</f>
        <v>0</v>
      </c>
      <c r="M56" s="339">
        <f>SUM(B56:L56)</f>
        <v>143678</v>
      </c>
      <c r="N56" s="339"/>
      <c r="O56" s="339"/>
      <c r="P56" s="339"/>
      <c r="Q56" s="339"/>
      <c r="R56" s="339"/>
      <c r="S56" s="339"/>
      <c r="T56" s="339"/>
      <c r="U56" s="339"/>
      <c r="V56" s="340"/>
    </row>
    <row r="57" spans="1:22" ht="27" customHeight="1" x14ac:dyDescent="0.2">
      <c r="A57" s="357" t="s">
        <v>329</v>
      </c>
      <c r="B57" s="339">
        <f t="shared" si="17"/>
        <v>191925</v>
      </c>
      <c r="C57" s="339">
        <f t="shared" si="17"/>
        <v>302424</v>
      </c>
      <c r="D57" s="339">
        <f t="shared" si="17"/>
        <v>10175</v>
      </c>
      <c r="E57" s="339">
        <f t="shared" si="17"/>
        <v>943147</v>
      </c>
      <c r="F57" s="339">
        <f t="shared" si="17"/>
        <v>47280</v>
      </c>
      <c r="G57" s="339">
        <f t="shared" si="17"/>
        <v>250636</v>
      </c>
      <c r="H57" s="339">
        <f t="shared" si="17"/>
        <v>106717</v>
      </c>
      <c r="I57" s="339">
        <f>SUM(I9,I15,I21,I27,I33,I39,I45,I51)</f>
        <v>4665</v>
      </c>
      <c r="J57" s="339">
        <f>SUM(J9,J15,J21,J27,J33,J39,J45,J51)</f>
        <v>0</v>
      </c>
      <c r="K57" s="339">
        <f>SUM(K9,K15,K21,K27,K33,K39,K45,K51)</f>
        <v>0</v>
      </c>
      <c r="L57" s="339">
        <f>SUM(L9,L15,L21,L27,L33,L39,L45,L51)</f>
        <v>4774</v>
      </c>
      <c r="M57" s="339">
        <f>SUM(B57:L57)</f>
        <v>1861743</v>
      </c>
      <c r="N57" s="339">
        <f>SUM(N9,N15,N21,N27,N33,N39,N45,N51)</f>
        <v>1593212</v>
      </c>
      <c r="O57" s="339">
        <f>SUM(O9,O15,O21,O27,O33,O39,O45,O51)</f>
        <v>1546395</v>
      </c>
      <c r="P57" s="339">
        <f>N57-O57</f>
        <v>46817</v>
      </c>
      <c r="Q57" s="339">
        <f t="shared" ref="Q57:V57" si="19">SUM(Q9,Q15,Q21,Q27,Q33,Q39,Q45,Q51)</f>
        <v>149252</v>
      </c>
      <c r="R57" s="339">
        <f t="shared" si="19"/>
        <v>147853</v>
      </c>
      <c r="S57" s="339">
        <f>SUM(S9,S15,S21,S27,S33,S39,S45,S51)</f>
        <v>89</v>
      </c>
      <c r="T57" s="339">
        <f t="shared" si="19"/>
        <v>88510</v>
      </c>
      <c r="U57" s="339">
        <f t="shared" si="19"/>
        <v>1831063</v>
      </c>
      <c r="V57" s="340">
        <f t="shared" si="19"/>
        <v>-30680</v>
      </c>
    </row>
    <row r="58" spans="1:22" x14ac:dyDescent="0.2">
      <c r="A58" s="349"/>
      <c r="B58" s="332"/>
      <c r="C58" s="332"/>
      <c r="D58" s="332"/>
      <c r="E58" s="332"/>
      <c r="F58" s="332"/>
      <c r="G58" s="332"/>
      <c r="H58" s="332"/>
      <c r="I58" s="333"/>
      <c r="J58" s="332"/>
      <c r="K58" s="332"/>
      <c r="L58" s="333"/>
      <c r="M58" s="339"/>
      <c r="N58" s="336"/>
      <c r="O58" s="336"/>
      <c r="P58" s="333"/>
      <c r="Q58" s="336"/>
      <c r="R58" s="336"/>
      <c r="S58" s="336"/>
      <c r="T58" s="336"/>
      <c r="U58" s="339"/>
      <c r="V58" s="350"/>
    </row>
    <row r="59" spans="1:22" x14ac:dyDescent="0.2">
      <c r="A59" s="357" t="s">
        <v>330</v>
      </c>
      <c r="B59" s="333"/>
      <c r="C59" s="333"/>
      <c r="D59" s="333"/>
      <c r="E59" s="333"/>
      <c r="F59" s="333"/>
      <c r="G59" s="333"/>
      <c r="H59" s="333"/>
      <c r="I59" s="333"/>
      <c r="J59" s="333"/>
      <c r="K59" s="333"/>
      <c r="L59" s="333"/>
      <c r="M59" s="339"/>
      <c r="N59" s="336"/>
      <c r="O59" s="336"/>
      <c r="P59" s="333"/>
      <c r="Q59" s="336"/>
      <c r="R59" s="336"/>
      <c r="S59" s="336"/>
      <c r="T59" s="336"/>
      <c r="U59" s="339"/>
      <c r="V59" s="350"/>
    </row>
    <row r="60" spans="1:22" x14ac:dyDescent="0.2">
      <c r="A60" s="342" t="s">
        <v>319</v>
      </c>
      <c r="B60" s="336">
        <v>257</v>
      </c>
      <c r="C60" s="336">
        <v>48338</v>
      </c>
      <c r="D60" s="336"/>
      <c r="E60" s="336">
        <v>100</v>
      </c>
      <c r="F60" s="336"/>
      <c r="G60" s="336">
        <v>24</v>
      </c>
      <c r="H60" s="336">
        <v>6997</v>
      </c>
      <c r="I60" s="336">
        <v>345</v>
      </c>
      <c r="J60" s="333"/>
      <c r="K60" s="333"/>
      <c r="L60" s="333">
        <v>7214</v>
      </c>
      <c r="M60" s="339">
        <f>SUM(B60:L60)</f>
        <v>63275</v>
      </c>
      <c r="N60" s="336">
        <v>68571</v>
      </c>
      <c r="O60" s="336">
        <v>7214</v>
      </c>
      <c r="P60" s="336">
        <f>N60-O60</f>
        <v>61357</v>
      </c>
      <c r="Q60" s="336">
        <f>16352-7192</f>
        <v>9160</v>
      </c>
      <c r="R60" s="336">
        <v>9102</v>
      </c>
      <c r="S60" s="336"/>
      <c r="T60" s="336">
        <v>7192</v>
      </c>
      <c r="U60" s="339">
        <f>SUM(N60,Q60,S60,T60)</f>
        <v>84923</v>
      </c>
      <c r="V60" s="340"/>
    </row>
    <row r="61" spans="1:22" x14ac:dyDescent="0.2">
      <c r="A61" s="342" t="s">
        <v>320</v>
      </c>
      <c r="B61" s="336">
        <v>163</v>
      </c>
      <c r="C61" s="336">
        <v>3220</v>
      </c>
      <c r="D61" s="336">
        <f>884-12</f>
        <v>872</v>
      </c>
      <c r="E61" s="336">
        <v>12776</v>
      </c>
      <c r="F61" s="336">
        <v>472</v>
      </c>
      <c r="G61" s="336">
        <v>4047</v>
      </c>
      <c r="H61" s="336">
        <v>86</v>
      </c>
      <c r="I61" s="336">
        <v>12</v>
      </c>
      <c r="J61" s="333"/>
      <c r="K61" s="333"/>
      <c r="L61" s="336"/>
      <c r="M61" s="339">
        <f>SUM(B61:L61)</f>
        <v>21648</v>
      </c>
      <c r="N61" s="336"/>
      <c r="O61" s="336"/>
      <c r="P61" s="333"/>
      <c r="Q61" s="336"/>
      <c r="R61" s="336"/>
      <c r="S61" s="336"/>
      <c r="T61" s="336"/>
      <c r="U61" s="339"/>
      <c r="V61" s="340"/>
    </row>
    <row r="62" spans="1:22" x14ac:dyDescent="0.2">
      <c r="A62" s="344" t="s">
        <v>321</v>
      </c>
      <c r="B62" s="333">
        <v>152</v>
      </c>
      <c r="C62" s="333">
        <v>3213</v>
      </c>
      <c r="D62" s="333">
        <f>876-12</f>
        <v>864</v>
      </c>
      <c r="E62" s="333">
        <v>8929</v>
      </c>
      <c r="F62" s="333">
        <v>472</v>
      </c>
      <c r="G62" s="333">
        <v>3101</v>
      </c>
      <c r="H62" s="333">
        <v>86</v>
      </c>
      <c r="I62" s="333">
        <v>12</v>
      </c>
      <c r="J62" s="358"/>
      <c r="K62" s="358"/>
      <c r="L62" s="333"/>
      <c r="M62" s="339">
        <f>SUM(B62:L62)</f>
        <v>16829</v>
      </c>
      <c r="N62" s="336"/>
      <c r="O62" s="336"/>
      <c r="P62" s="333"/>
      <c r="Q62" s="336"/>
      <c r="R62" s="336"/>
      <c r="S62" s="336"/>
      <c r="T62" s="336"/>
      <c r="U62" s="339"/>
      <c r="V62" s="340"/>
    </row>
    <row r="63" spans="1:22" x14ac:dyDescent="0.2">
      <c r="A63" s="346" t="s">
        <v>322</v>
      </c>
      <c r="B63" s="352">
        <f t="shared" ref="B63:I63" si="20">SUM(B60:B61)</f>
        <v>420</v>
      </c>
      <c r="C63" s="352">
        <f t="shared" si="20"/>
        <v>51558</v>
      </c>
      <c r="D63" s="352">
        <f t="shared" si="20"/>
        <v>872</v>
      </c>
      <c r="E63" s="352">
        <f t="shared" si="20"/>
        <v>12876</v>
      </c>
      <c r="F63" s="352">
        <f t="shared" si="20"/>
        <v>472</v>
      </c>
      <c r="G63" s="352">
        <f t="shared" si="20"/>
        <v>4071</v>
      </c>
      <c r="H63" s="352">
        <f t="shared" si="20"/>
        <v>7083</v>
      </c>
      <c r="I63" s="352">
        <f t="shared" si="20"/>
        <v>357</v>
      </c>
      <c r="J63" s="352"/>
      <c r="K63" s="352"/>
      <c r="L63" s="352">
        <f>SUM(L60:L62)</f>
        <v>7214</v>
      </c>
      <c r="M63" s="339">
        <f>SUM(B63:L63)</f>
        <v>84923</v>
      </c>
      <c r="N63" s="339">
        <f t="shared" ref="N63:T63" si="21">SUM(N60)</f>
        <v>68571</v>
      </c>
      <c r="O63" s="339">
        <f t="shared" si="21"/>
        <v>7214</v>
      </c>
      <c r="P63" s="352">
        <f t="shared" si="21"/>
        <v>61357</v>
      </c>
      <c r="Q63" s="339">
        <f t="shared" si="21"/>
        <v>9160</v>
      </c>
      <c r="R63" s="339">
        <f t="shared" si="21"/>
        <v>9102</v>
      </c>
      <c r="S63" s="339">
        <f t="shared" si="21"/>
        <v>0</v>
      </c>
      <c r="T63" s="339">
        <f t="shared" si="21"/>
        <v>7192</v>
      </c>
      <c r="U63" s="339">
        <f>SUM(N63,Q63,S63,T63)</f>
        <v>84923</v>
      </c>
      <c r="V63" s="347">
        <f>U63-M63</f>
        <v>0</v>
      </c>
    </row>
    <row r="64" spans="1:22" x14ac:dyDescent="0.2">
      <c r="A64" s="349"/>
      <c r="B64" s="333"/>
      <c r="C64" s="333"/>
      <c r="D64" s="333"/>
      <c r="E64" s="333"/>
      <c r="F64" s="333"/>
      <c r="G64" s="333"/>
      <c r="H64" s="333"/>
      <c r="I64" s="333"/>
      <c r="J64" s="333"/>
      <c r="K64" s="333"/>
      <c r="L64" s="333"/>
      <c r="M64" s="339"/>
      <c r="N64" s="336"/>
      <c r="O64" s="336"/>
      <c r="P64" s="333"/>
      <c r="Q64" s="336"/>
      <c r="R64" s="336"/>
      <c r="S64" s="336"/>
      <c r="T64" s="336"/>
      <c r="U64" s="339"/>
      <c r="V64" s="350"/>
    </row>
    <row r="65" spans="1:22" x14ac:dyDescent="0.2">
      <c r="A65" s="357" t="s">
        <v>190</v>
      </c>
      <c r="B65" s="333"/>
      <c r="C65" s="333"/>
      <c r="D65" s="333"/>
      <c r="E65" s="333"/>
      <c r="F65" s="333"/>
      <c r="G65" s="333"/>
      <c r="H65" s="333"/>
      <c r="I65" s="333"/>
      <c r="J65" s="333"/>
      <c r="K65" s="333"/>
      <c r="L65" s="333"/>
      <c r="M65" s="339"/>
      <c r="N65" s="336"/>
      <c r="O65" s="336"/>
      <c r="P65" s="333"/>
      <c r="Q65" s="336"/>
      <c r="R65" s="336"/>
      <c r="S65" s="336"/>
      <c r="T65" s="336"/>
      <c r="U65" s="339"/>
      <c r="V65" s="350"/>
    </row>
    <row r="66" spans="1:22" x14ac:dyDescent="0.2">
      <c r="A66" s="342" t="s">
        <v>319</v>
      </c>
      <c r="B66" s="336"/>
      <c r="C66" s="336">
        <v>6176</v>
      </c>
      <c r="D66" s="336"/>
      <c r="E66" s="336"/>
      <c r="F66" s="336"/>
      <c r="G66" s="336"/>
      <c r="H66" s="336">
        <v>1298</v>
      </c>
      <c r="I66" s="336">
        <v>19</v>
      </c>
      <c r="J66" s="333"/>
      <c r="K66" s="333"/>
      <c r="L66" s="336">
        <f>2771+2963</f>
        <v>5734</v>
      </c>
      <c r="M66" s="339">
        <f>SUM(B66:L66)</f>
        <v>13227</v>
      </c>
      <c r="N66" s="336">
        <v>21146</v>
      </c>
      <c r="O66" s="336">
        <v>5734</v>
      </c>
      <c r="P66" s="336">
        <f>N66-O66</f>
        <v>15412</v>
      </c>
      <c r="Q66" s="336">
        <f>1213-1213</f>
        <v>0</v>
      </c>
      <c r="R66" s="336"/>
      <c r="S66" s="336"/>
      <c r="T66" s="336">
        <v>1213</v>
      </c>
      <c r="U66" s="339">
        <f>SUM(N66,Q66,S66,T66)</f>
        <v>22359</v>
      </c>
      <c r="V66" s="340"/>
    </row>
    <row r="67" spans="1:22" x14ac:dyDescent="0.2">
      <c r="A67" s="342" t="s">
        <v>320</v>
      </c>
      <c r="B67" s="336">
        <v>71</v>
      </c>
      <c r="C67" s="336">
        <v>1466</v>
      </c>
      <c r="D67" s="336">
        <f>388-5</f>
        <v>383</v>
      </c>
      <c r="E67" s="336">
        <v>5246</v>
      </c>
      <c r="F67" s="336">
        <v>223</v>
      </c>
      <c r="G67" s="336">
        <v>1700</v>
      </c>
      <c r="H67" s="336">
        <v>38</v>
      </c>
      <c r="I67" s="336">
        <v>5</v>
      </c>
      <c r="J67" s="333"/>
      <c r="K67" s="333"/>
      <c r="L67" s="359"/>
      <c r="M67" s="339">
        <f>SUM(B67:L67)</f>
        <v>9132</v>
      </c>
      <c r="N67" s="336"/>
      <c r="O67" s="336"/>
      <c r="P67" s="333"/>
      <c r="Q67" s="336"/>
      <c r="R67" s="336"/>
      <c r="S67" s="336"/>
      <c r="T67" s="336"/>
      <c r="U67" s="339"/>
      <c r="V67" s="340"/>
    </row>
    <row r="68" spans="1:22" x14ac:dyDescent="0.2">
      <c r="A68" s="344" t="s">
        <v>321</v>
      </c>
      <c r="B68" s="333">
        <v>69</v>
      </c>
      <c r="C68" s="333">
        <v>1466</v>
      </c>
      <c r="D68" s="333">
        <f>386-5</f>
        <v>381</v>
      </c>
      <c r="E68" s="333">
        <v>3997</v>
      </c>
      <c r="F68" s="333">
        <v>223</v>
      </c>
      <c r="G68" s="333">
        <v>1393</v>
      </c>
      <c r="H68" s="333">
        <v>38</v>
      </c>
      <c r="I68" s="333">
        <v>5</v>
      </c>
      <c r="J68" s="358"/>
      <c r="K68" s="358"/>
      <c r="L68" s="333"/>
      <c r="M68" s="339">
        <f>SUM(B68:L68)</f>
        <v>7572</v>
      </c>
      <c r="N68" s="336"/>
      <c r="O68" s="336"/>
      <c r="P68" s="333"/>
      <c r="Q68" s="336"/>
      <c r="R68" s="336"/>
      <c r="S68" s="336"/>
      <c r="T68" s="336"/>
      <c r="U68" s="339"/>
      <c r="V68" s="340"/>
    </row>
    <row r="69" spans="1:22" x14ac:dyDescent="0.2">
      <c r="A69" s="346" t="s">
        <v>322</v>
      </c>
      <c r="B69" s="352">
        <f t="shared" ref="B69:I69" si="22">SUM(B66:B67)</f>
        <v>71</v>
      </c>
      <c r="C69" s="352">
        <f t="shared" si="22"/>
        <v>7642</v>
      </c>
      <c r="D69" s="352">
        <f t="shared" si="22"/>
        <v>383</v>
      </c>
      <c r="E69" s="352">
        <f t="shared" si="22"/>
        <v>5246</v>
      </c>
      <c r="F69" s="352">
        <f t="shared" si="22"/>
        <v>223</v>
      </c>
      <c r="G69" s="352">
        <f t="shared" si="22"/>
        <v>1700</v>
      </c>
      <c r="H69" s="352">
        <f t="shared" si="22"/>
        <v>1336</v>
      </c>
      <c r="I69" s="352">
        <f t="shared" si="22"/>
        <v>24</v>
      </c>
      <c r="J69" s="352"/>
      <c r="K69" s="352"/>
      <c r="L69" s="352">
        <f>SUM(L66:L68)</f>
        <v>5734</v>
      </c>
      <c r="M69" s="339">
        <f>SUM(B69:L69)</f>
        <v>22359</v>
      </c>
      <c r="N69" s="339">
        <f t="shared" ref="N69:T69" si="23">SUM(N66)</f>
        <v>21146</v>
      </c>
      <c r="O69" s="339">
        <f t="shared" si="23"/>
        <v>5734</v>
      </c>
      <c r="P69" s="352">
        <f t="shared" si="23"/>
        <v>15412</v>
      </c>
      <c r="Q69" s="339">
        <f t="shared" si="23"/>
        <v>0</v>
      </c>
      <c r="R69" s="339">
        <f t="shared" si="23"/>
        <v>0</v>
      </c>
      <c r="S69" s="339">
        <f t="shared" si="23"/>
        <v>0</v>
      </c>
      <c r="T69" s="339">
        <f t="shared" si="23"/>
        <v>1213</v>
      </c>
      <c r="U69" s="339">
        <f>SUM(N69,Q69,S69,T69)</f>
        <v>22359</v>
      </c>
      <c r="V69" s="347">
        <f>U69-M69</f>
        <v>0</v>
      </c>
    </row>
    <row r="70" spans="1:22" x14ac:dyDescent="0.2">
      <c r="A70" s="349"/>
      <c r="B70" s="333"/>
      <c r="C70" s="333"/>
      <c r="D70" s="333"/>
      <c r="E70" s="333"/>
      <c r="F70" s="333"/>
      <c r="G70" s="333"/>
      <c r="H70" s="333"/>
      <c r="I70" s="333"/>
      <c r="J70" s="333"/>
      <c r="K70" s="333"/>
      <c r="L70" s="333"/>
      <c r="M70" s="339"/>
      <c r="N70" s="336"/>
      <c r="O70" s="336"/>
      <c r="P70" s="333"/>
      <c r="Q70" s="336"/>
      <c r="R70" s="336"/>
      <c r="S70" s="336"/>
      <c r="T70" s="336"/>
      <c r="U70" s="339"/>
      <c r="V70" s="350"/>
    </row>
    <row r="71" spans="1:22" x14ac:dyDescent="0.2">
      <c r="A71" s="357" t="s">
        <v>331</v>
      </c>
      <c r="B71" s="333"/>
      <c r="C71" s="333"/>
      <c r="D71" s="333"/>
      <c r="E71" s="333"/>
      <c r="F71" s="333"/>
      <c r="G71" s="333"/>
      <c r="H71" s="333"/>
      <c r="I71" s="333"/>
      <c r="J71" s="333"/>
      <c r="K71" s="333"/>
      <c r="L71" s="333"/>
      <c r="M71" s="339"/>
      <c r="N71" s="336"/>
      <c r="O71" s="336"/>
      <c r="P71" s="333"/>
      <c r="Q71" s="336"/>
      <c r="R71" s="336"/>
      <c r="S71" s="336"/>
      <c r="T71" s="336"/>
      <c r="U71" s="339"/>
      <c r="V71" s="350"/>
    </row>
    <row r="72" spans="1:22" x14ac:dyDescent="0.2">
      <c r="A72" s="342" t="s">
        <v>319</v>
      </c>
      <c r="B72" s="336">
        <v>10</v>
      </c>
      <c r="C72" s="336">
        <v>659</v>
      </c>
      <c r="D72" s="336"/>
      <c r="E72" s="336">
        <v>750</v>
      </c>
      <c r="F72" s="336"/>
      <c r="G72" s="336">
        <v>182</v>
      </c>
      <c r="H72" s="336">
        <v>201</v>
      </c>
      <c r="I72" s="336">
        <v>7</v>
      </c>
      <c r="J72" s="333"/>
      <c r="K72" s="333"/>
      <c r="L72" s="333"/>
      <c r="M72" s="339">
        <f>SUM(B72:L72)</f>
        <v>1809</v>
      </c>
      <c r="N72" s="336">
        <v>6</v>
      </c>
      <c r="O72" s="336"/>
      <c r="P72" s="336">
        <f>N72-O72</f>
        <v>6</v>
      </c>
      <c r="Q72" s="336">
        <f>1803-202</f>
        <v>1601</v>
      </c>
      <c r="R72" s="336">
        <v>1601</v>
      </c>
      <c r="S72" s="336"/>
      <c r="T72" s="336">
        <v>202</v>
      </c>
      <c r="U72" s="339">
        <f>SUM(N72,Q72,S72,T72)</f>
        <v>1809</v>
      </c>
      <c r="V72" s="340"/>
    </row>
    <row r="73" spans="1:22" x14ac:dyDescent="0.2">
      <c r="A73" s="342" t="s">
        <v>320</v>
      </c>
      <c r="B73" s="336"/>
      <c r="C73" s="336"/>
      <c r="D73" s="336"/>
      <c r="E73" s="336"/>
      <c r="F73" s="336"/>
      <c r="G73" s="336"/>
      <c r="H73" s="336"/>
      <c r="I73" s="336"/>
      <c r="J73" s="333"/>
      <c r="K73" s="333"/>
      <c r="L73" s="336"/>
      <c r="M73" s="339">
        <f>SUM(B73:L73)</f>
        <v>0</v>
      </c>
      <c r="N73" s="336"/>
      <c r="O73" s="336"/>
      <c r="P73" s="333"/>
      <c r="Q73" s="336"/>
      <c r="R73" s="336"/>
      <c r="S73" s="336"/>
      <c r="T73" s="336"/>
      <c r="U73" s="339"/>
      <c r="V73" s="340"/>
    </row>
    <row r="74" spans="1:22" x14ac:dyDescent="0.2">
      <c r="A74" s="344" t="s">
        <v>321</v>
      </c>
      <c r="B74" s="333"/>
      <c r="C74" s="333"/>
      <c r="D74" s="333"/>
      <c r="E74" s="333"/>
      <c r="F74" s="333"/>
      <c r="G74" s="333"/>
      <c r="H74" s="333"/>
      <c r="I74" s="333"/>
      <c r="J74" s="358"/>
      <c r="K74" s="358"/>
      <c r="L74" s="333"/>
      <c r="M74" s="339">
        <f>SUM(B74:L74)</f>
        <v>0</v>
      </c>
      <c r="N74" s="336"/>
      <c r="O74" s="336"/>
      <c r="P74" s="333"/>
      <c r="Q74" s="336"/>
      <c r="R74" s="336"/>
      <c r="S74" s="336"/>
      <c r="T74" s="336"/>
      <c r="U74" s="339"/>
      <c r="V74" s="340"/>
    </row>
    <row r="75" spans="1:22" x14ac:dyDescent="0.2">
      <c r="A75" s="346" t="s">
        <v>322</v>
      </c>
      <c r="B75" s="352">
        <f t="shared" ref="B75:I75" si="24">SUM(B72:B73)</f>
        <v>10</v>
      </c>
      <c r="C75" s="352">
        <f t="shared" si="24"/>
        <v>659</v>
      </c>
      <c r="D75" s="352">
        <f t="shared" si="24"/>
        <v>0</v>
      </c>
      <c r="E75" s="352">
        <f t="shared" si="24"/>
        <v>750</v>
      </c>
      <c r="F75" s="352">
        <f t="shared" si="24"/>
        <v>0</v>
      </c>
      <c r="G75" s="352">
        <f t="shared" si="24"/>
        <v>182</v>
      </c>
      <c r="H75" s="352">
        <f t="shared" si="24"/>
        <v>201</v>
      </c>
      <c r="I75" s="352">
        <f t="shared" si="24"/>
        <v>7</v>
      </c>
      <c r="J75" s="352"/>
      <c r="K75" s="352"/>
      <c r="L75" s="352">
        <f>SUM(L72:L74)</f>
        <v>0</v>
      </c>
      <c r="M75" s="339">
        <f>SUM(B75:L75)</f>
        <v>1809</v>
      </c>
      <c r="N75" s="339">
        <f t="shared" ref="N75:T75" si="25">SUM(N72)</f>
        <v>6</v>
      </c>
      <c r="O75" s="339">
        <f t="shared" si="25"/>
        <v>0</v>
      </c>
      <c r="P75" s="352">
        <f t="shared" si="25"/>
        <v>6</v>
      </c>
      <c r="Q75" s="339">
        <f t="shared" si="25"/>
        <v>1601</v>
      </c>
      <c r="R75" s="339">
        <f t="shared" si="25"/>
        <v>1601</v>
      </c>
      <c r="S75" s="339">
        <f t="shared" si="25"/>
        <v>0</v>
      </c>
      <c r="T75" s="339">
        <f t="shared" si="25"/>
        <v>202</v>
      </c>
      <c r="U75" s="339">
        <f>SUM(N75,Q75,S75,T75)</f>
        <v>1809</v>
      </c>
      <c r="V75" s="347">
        <f>U75-M75</f>
        <v>0</v>
      </c>
    </row>
    <row r="76" spans="1:22" x14ac:dyDescent="0.2">
      <c r="A76" s="349"/>
      <c r="B76" s="333"/>
      <c r="C76" s="333"/>
      <c r="D76" s="333"/>
      <c r="E76" s="333"/>
      <c r="F76" s="333"/>
      <c r="G76" s="333"/>
      <c r="H76" s="333"/>
      <c r="I76" s="333"/>
      <c r="J76" s="333"/>
      <c r="K76" s="333"/>
      <c r="L76" s="333"/>
      <c r="M76" s="339"/>
      <c r="N76" s="336"/>
      <c r="O76" s="336"/>
      <c r="P76" s="333"/>
      <c r="Q76" s="336"/>
      <c r="R76" s="336"/>
      <c r="S76" s="336"/>
      <c r="T76" s="336"/>
      <c r="U76" s="339"/>
      <c r="V76" s="350"/>
    </row>
    <row r="77" spans="1:22" x14ac:dyDescent="0.2">
      <c r="A77" s="357" t="s">
        <v>332</v>
      </c>
      <c r="B77" s="333"/>
      <c r="C77" s="333"/>
      <c r="D77" s="333"/>
      <c r="E77" s="333"/>
      <c r="F77" s="333"/>
      <c r="G77" s="333"/>
      <c r="H77" s="333"/>
      <c r="I77" s="333"/>
      <c r="J77" s="333"/>
      <c r="K77" s="333"/>
      <c r="L77" s="333"/>
      <c r="M77" s="339"/>
      <c r="N77" s="336"/>
      <c r="O77" s="336"/>
      <c r="P77" s="333"/>
      <c r="Q77" s="336"/>
      <c r="R77" s="336"/>
      <c r="S77" s="336"/>
      <c r="T77" s="336"/>
      <c r="U77" s="339"/>
      <c r="V77" s="350"/>
    </row>
    <row r="78" spans="1:22" x14ac:dyDescent="0.2">
      <c r="A78" s="342" t="s">
        <v>319</v>
      </c>
      <c r="B78" s="336"/>
      <c r="C78" s="336">
        <v>241</v>
      </c>
      <c r="D78" s="336"/>
      <c r="E78" s="336">
        <v>196</v>
      </c>
      <c r="F78" s="336"/>
      <c r="G78" s="336">
        <v>53</v>
      </c>
      <c r="H78" s="336"/>
      <c r="I78" s="336"/>
      <c r="J78" s="333"/>
      <c r="K78" s="333"/>
      <c r="L78" s="333"/>
      <c r="M78" s="339">
        <f>SUM(B78:L78)</f>
        <v>490</v>
      </c>
      <c r="N78" s="336">
        <v>490</v>
      </c>
      <c r="O78" s="336"/>
      <c r="P78" s="336">
        <f>N78-O78</f>
        <v>490</v>
      </c>
      <c r="Q78" s="336"/>
      <c r="R78" s="336"/>
      <c r="S78" s="336"/>
      <c r="T78" s="336"/>
      <c r="U78" s="339">
        <f>SUM(N78,Q78,S78,T78)</f>
        <v>490</v>
      </c>
      <c r="V78" s="340"/>
    </row>
    <row r="79" spans="1:22" x14ac:dyDescent="0.2">
      <c r="A79" s="342" t="s">
        <v>320</v>
      </c>
      <c r="B79" s="336"/>
      <c r="C79" s="336"/>
      <c r="D79" s="336"/>
      <c r="E79" s="336"/>
      <c r="F79" s="336"/>
      <c r="G79" s="336"/>
      <c r="H79" s="336"/>
      <c r="I79" s="336"/>
      <c r="J79" s="333"/>
      <c r="K79" s="333"/>
      <c r="L79" s="336"/>
      <c r="M79" s="339">
        <f>SUM(B79:L79)</f>
        <v>0</v>
      </c>
      <c r="N79" s="336"/>
      <c r="O79" s="336"/>
      <c r="P79" s="333"/>
      <c r="Q79" s="336"/>
      <c r="R79" s="336"/>
      <c r="S79" s="336"/>
      <c r="T79" s="336"/>
      <c r="U79" s="339"/>
      <c r="V79" s="340"/>
    </row>
    <row r="80" spans="1:22" x14ac:dyDescent="0.2">
      <c r="A80" s="344" t="s">
        <v>321</v>
      </c>
      <c r="B80" s="333"/>
      <c r="C80" s="333"/>
      <c r="D80" s="333"/>
      <c r="E80" s="333"/>
      <c r="F80" s="333"/>
      <c r="G80" s="333"/>
      <c r="H80" s="333"/>
      <c r="I80" s="333"/>
      <c r="J80" s="358"/>
      <c r="K80" s="358"/>
      <c r="L80" s="333"/>
      <c r="M80" s="339">
        <f>SUM(B80:L80)</f>
        <v>0</v>
      </c>
      <c r="N80" s="336"/>
      <c r="O80" s="336"/>
      <c r="P80" s="333"/>
      <c r="Q80" s="336"/>
      <c r="R80" s="336"/>
      <c r="S80" s="336"/>
      <c r="T80" s="336"/>
      <c r="U80" s="339"/>
      <c r="V80" s="340"/>
    </row>
    <row r="81" spans="1:22" x14ac:dyDescent="0.2">
      <c r="A81" s="346" t="s">
        <v>322</v>
      </c>
      <c r="B81" s="352">
        <f t="shared" ref="B81:I81" si="26">SUM(B78:B79)</f>
        <v>0</v>
      </c>
      <c r="C81" s="352">
        <f t="shared" si="26"/>
        <v>241</v>
      </c>
      <c r="D81" s="352">
        <f t="shared" si="26"/>
        <v>0</v>
      </c>
      <c r="E81" s="352">
        <f t="shared" si="26"/>
        <v>196</v>
      </c>
      <c r="F81" s="352">
        <f t="shared" si="26"/>
        <v>0</v>
      </c>
      <c r="G81" s="352">
        <f t="shared" si="26"/>
        <v>53</v>
      </c>
      <c r="H81" s="352">
        <f t="shared" si="26"/>
        <v>0</v>
      </c>
      <c r="I81" s="352">
        <f t="shared" si="26"/>
        <v>0</v>
      </c>
      <c r="J81" s="352"/>
      <c r="K81" s="352"/>
      <c r="L81" s="352">
        <f>SUM(L78:L80)</f>
        <v>0</v>
      </c>
      <c r="M81" s="339">
        <f>SUM(B81:L81)</f>
        <v>490</v>
      </c>
      <c r="N81" s="339">
        <f t="shared" ref="N81:T81" si="27">SUM(N78)</f>
        <v>490</v>
      </c>
      <c r="O81" s="339">
        <f t="shared" si="27"/>
        <v>0</v>
      </c>
      <c r="P81" s="352">
        <f t="shared" si="27"/>
        <v>490</v>
      </c>
      <c r="Q81" s="339">
        <f t="shared" si="27"/>
        <v>0</v>
      </c>
      <c r="R81" s="339">
        <f t="shared" si="27"/>
        <v>0</v>
      </c>
      <c r="S81" s="339">
        <f t="shared" si="27"/>
        <v>0</v>
      </c>
      <c r="T81" s="339">
        <f t="shared" si="27"/>
        <v>0</v>
      </c>
      <c r="U81" s="339">
        <f>SUM(N81,Q81,S81,T81)</f>
        <v>490</v>
      </c>
      <c r="V81" s="347">
        <f>U81-M81</f>
        <v>0</v>
      </c>
    </row>
    <row r="82" spans="1:22" x14ac:dyDescent="0.2">
      <c r="A82" s="349"/>
      <c r="B82" s="333"/>
      <c r="C82" s="333"/>
      <c r="D82" s="333"/>
      <c r="E82" s="333"/>
      <c r="F82" s="333"/>
      <c r="G82" s="333"/>
      <c r="H82" s="333"/>
      <c r="I82" s="333"/>
      <c r="J82" s="333"/>
      <c r="K82" s="333"/>
      <c r="L82" s="333"/>
      <c r="M82" s="339"/>
      <c r="N82" s="336"/>
      <c r="O82" s="336"/>
      <c r="P82" s="333"/>
      <c r="Q82" s="336"/>
      <c r="R82" s="336"/>
      <c r="S82" s="336"/>
      <c r="T82" s="336"/>
      <c r="U82" s="339"/>
      <c r="V82" s="350"/>
    </row>
    <row r="83" spans="1:22" x14ac:dyDescent="0.2">
      <c r="A83" s="357" t="s">
        <v>333</v>
      </c>
      <c r="B83" s="333"/>
      <c r="C83" s="333"/>
      <c r="D83" s="333"/>
      <c r="E83" s="333"/>
      <c r="F83" s="333"/>
      <c r="G83" s="333"/>
      <c r="H83" s="333"/>
      <c r="I83" s="333"/>
      <c r="J83" s="333"/>
      <c r="K83" s="333"/>
      <c r="L83" s="333"/>
      <c r="M83" s="339"/>
      <c r="N83" s="336"/>
      <c r="O83" s="336"/>
      <c r="P83" s="333"/>
      <c r="Q83" s="336"/>
      <c r="R83" s="336"/>
      <c r="S83" s="336"/>
      <c r="T83" s="336"/>
      <c r="U83" s="339"/>
      <c r="V83" s="350"/>
    </row>
    <row r="84" spans="1:22" x14ac:dyDescent="0.2">
      <c r="A84" s="342" t="s">
        <v>319</v>
      </c>
      <c r="B84" s="336"/>
      <c r="C84" s="336"/>
      <c r="D84" s="336"/>
      <c r="E84" s="336"/>
      <c r="F84" s="336"/>
      <c r="G84" s="336"/>
      <c r="H84" s="336"/>
      <c r="I84" s="336">
        <v>31</v>
      </c>
      <c r="J84" s="333"/>
      <c r="K84" s="333"/>
      <c r="L84" s="333"/>
      <c r="M84" s="339">
        <f>SUM(B84:L84)</f>
        <v>31</v>
      </c>
      <c r="N84" s="336">
        <v>31</v>
      </c>
      <c r="O84" s="336"/>
      <c r="P84" s="336">
        <f>N84-O84</f>
        <v>31</v>
      </c>
      <c r="Q84" s="336"/>
      <c r="R84" s="336"/>
      <c r="S84" s="336"/>
      <c r="T84" s="336"/>
      <c r="U84" s="339">
        <f>SUM(N84,Q84,S84,T84)</f>
        <v>31</v>
      </c>
      <c r="V84" s="340"/>
    </row>
    <row r="85" spans="1:22" x14ac:dyDescent="0.2">
      <c r="A85" s="342" t="s">
        <v>320</v>
      </c>
      <c r="B85" s="336"/>
      <c r="C85" s="336"/>
      <c r="D85" s="336"/>
      <c r="E85" s="336"/>
      <c r="F85" s="336"/>
      <c r="G85" s="336"/>
      <c r="H85" s="336"/>
      <c r="I85" s="336"/>
      <c r="J85" s="333"/>
      <c r="K85" s="333"/>
      <c r="L85" s="336"/>
      <c r="M85" s="339">
        <f>SUM(B85:L85)</f>
        <v>0</v>
      </c>
      <c r="N85" s="336"/>
      <c r="O85" s="336"/>
      <c r="P85" s="333"/>
      <c r="Q85" s="336"/>
      <c r="R85" s="336"/>
      <c r="S85" s="336"/>
      <c r="T85" s="336"/>
      <c r="U85" s="339"/>
      <c r="V85" s="340"/>
    </row>
    <row r="86" spans="1:22" x14ac:dyDescent="0.2">
      <c r="A86" s="344" t="s">
        <v>321</v>
      </c>
      <c r="B86" s="333"/>
      <c r="C86" s="333"/>
      <c r="D86" s="333"/>
      <c r="E86" s="333"/>
      <c r="F86" s="333"/>
      <c r="G86" s="333"/>
      <c r="H86" s="333"/>
      <c r="I86" s="333"/>
      <c r="J86" s="358"/>
      <c r="K86" s="358"/>
      <c r="L86" s="333"/>
      <c r="M86" s="339">
        <f>SUM(B86:L86)</f>
        <v>0</v>
      </c>
      <c r="N86" s="336"/>
      <c r="O86" s="336"/>
      <c r="P86" s="333"/>
      <c r="Q86" s="336"/>
      <c r="R86" s="336"/>
      <c r="S86" s="336"/>
      <c r="T86" s="336"/>
      <c r="U86" s="339"/>
      <c r="V86" s="340"/>
    </row>
    <row r="87" spans="1:22" x14ac:dyDescent="0.2">
      <c r="A87" s="346" t="s">
        <v>322</v>
      </c>
      <c r="B87" s="352">
        <f t="shared" ref="B87:I87" si="28">SUM(B84:B85)</f>
        <v>0</v>
      </c>
      <c r="C87" s="352">
        <f t="shared" si="28"/>
        <v>0</v>
      </c>
      <c r="D87" s="352">
        <f t="shared" si="28"/>
        <v>0</v>
      </c>
      <c r="E87" s="352">
        <f t="shared" si="28"/>
        <v>0</v>
      </c>
      <c r="F87" s="352">
        <f t="shared" si="28"/>
        <v>0</v>
      </c>
      <c r="G87" s="352">
        <f t="shared" si="28"/>
        <v>0</v>
      </c>
      <c r="H87" s="352">
        <f t="shared" si="28"/>
        <v>0</v>
      </c>
      <c r="I87" s="352">
        <f t="shared" si="28"/>
        <v>31</v>
      </c>
      <c r="J87" s="352"/>
      <c r="K87" s="352"/>
      <c r="L87" s="352">
        <f>SUM(L84:L86)</f>
        <v>0</v>
      </c>
      <c r="M87" s="339">
        <f>SUM(B87:L87)</f>
        <v>31</v>
      </c>
      <c r="N87" s="339">
        <f t="shared" ref="N87:T87" si="29">SUM(N84)</f>
        <v>31</v>
      </c>
      <c r="O87" s="339">
        <f t="shared" si="29"/>
        <v>0</v>
      </c>
      <c r="P87" s="352">
        <f t="shared" si="29"/>
        <v>31</v>
      </c>
      <c r="Q87" s="339">
        <f t="shared" si="29"/>
        <v>0</v>
      </c>
      <c r="R87" s="339">
        <f t="shared" si="29"/>
        <v>0</v>
      </c>
      <c r="S87" s="339">
        <f t="shared" si="29"/>
        <v>0</v>
      </c>
      <c r="T87" s="339">
        <f t="shared" si="29"/>
        <v>0</v>
      </c>
      <c r="U87" s="339">
        <f>SUM(N87,Q87,S87,T87)</f>
        <v>31</v>
      </c>
      <c r="V87" s="347">
        <f>U87-M87</f>
        <v>0</v>
      </c>
    </row>
    <row r="88" spans="1:22" x14ac:dyDescent="0.2">
      <c r="A88" s="349"/>
      <c r="B88" s="333"/>
      <c r="C88" s="333"/>
      <c r="D88" s="333"/>
      <c r="E88" s="333"/>
      <c r="F88" s="333"/>
      <c r="G88" s="333"/>
      <c r="H88" s="333"/>
      <c r="I88" s="333"/>
      <c r="J88" s="333"/>
      <c r="K88" s="333"/>
      <c r="L88" s="333"/>
      <c r="M88" s="339"/>
      <c r="N88" s="336"/>
      <c r="O88" s="336"/>
      <c r="P88" s="333"/>
      <c r="Q88" s="336"/>
      <c r="R88" s="336"/>
      <c r="S88" s="336"/>
      <c r="T88" s="336"/>
      <c r="U88" s="339"/>
      <c r="V88" s="350"/>
    </row>
    <row r="89" spans="1:22" x14ac:dyDescent="0.2">
      <c r="A89" s="357" t="s">
        <v>334</v>
      </c>
      <c r="B89" s="333"/>
      <c r="C89" s="333"/>
      <c r="D89" s="333"/>
      <c r="E89" s="333"/>
      <c r="F89" s="333"/>
      <c r="G89" s="333"/>
      <c r="H89" s="333"/>
      <c r="I89" s="333"/>
      <c r="J89" s="333"/>
      <c r="K89" s="333"/>
      <c r="L89" s="333"/>
      <c r="M89" s="339"/>
      <c r="N89" s="336"/>
      <c r="O89" s="336"/>
      <c r="P89" s="333"/>
      <c r="Q89" s="336"/>
      <c r="R89" s="336"/>
      <c r="S89" s="336"/>
      <c r="T89" s="336"/>
      <c r="U89" s="339"/>
      <c r="V89" s="350"/>
    </row>
    <row r="90" spans="1:22" x14ac:dyDescent="0.2">
      <c r="A90" s="342" t="s">
        <v>319</v>
      </c>
      <c r="B90" s="336">
        <v>26</v>
      </c>
      <c r="C90" s="336">
        <v>78</v>
      </c>
      <c r="D90" s="336"/>
      <c r="E90" s="336">
        <v>193</v>
      </c>
      <c r="F90" s="336"/>
      <c r="G90" s="336">
        <v>47</v>
      </c>
      <c r="H90" s="336"/>
      <c r="I90" s="336"/>
      <c r="J90" s="333"/>
      <c r="K90" s="333"/>
      <c r="L90" s="333"/>
      <c r="M90" s="339">
        <f>SUM(B90:L90)</f>
        <v>344</v>
      </c>
      <c r="N90" s="336">
        <v>344</v>
      </c>
      <c r="O90" s="336"/>
      <c r="P90" s="336">
        <f>N90-O90</f>
        <v>344</v>
      </c>
      <c r="Q90" s="336"/>
      <c r="R90" s="336"/>
      <c r="S90" s="336"/>
      <c r="T90" s="336"/>
      <c r="U90" s="339">
        <f>SUM(N90,Q90,S90,T90)</f>
        <v>344</v>
      </c>
      <c r="V90" s="340"/>
    </row>
    <row r="91" spans="1:22" x14ac:dyDescent="0.2">
      <c r="A91" s="342" t="s">
        <v>320</v>
      </c>
      <c r="B91" s="336"/>
      <c r="C91" s="336"/>
      <c r="D91" s="336"/>
      <c r="E91" s="336"/>
      <c r="F91" s="336"/>
      <c r="G91" s="336"/>
      <c r="H91" s="336"/>
      <c r="I91" s="336"/>
      <c r="J91" s="333"/>
      <c r="K91" s="333"/>
      <c r="L91" s="336"/>
      <c r="M91" s="339">
        <f>SUM(B91:L91)</f>
        <v>0</v>
      </c>
      <c r="N91" s="336"/>
      <c r="O91" s="336"/>
      <c r="P91" s="333"/>
      <c r="Q91" s="336"/>
      <c r="R91" s="336"/>
      <c r="S91" s="336"/>
      <c r="T91" s="336"/>
      <c r="U91" s="339"/>
      <c r="V91" s="340"/>
    </row>
    <row r="92" spans="1:22" x14ac:dyDescent="0.2">
      <c r="A92" s="344" t="s">
        <v>321</v>
      </c>
      <c r="B92" s="333"/>
      <c r="C92" s="333"/>
      <c r="D92" s="333"/>
      <c r="E92" s="333"/>
      <c r="F92" s="333"/>
      <c r="G92" s="333"/>
      <c r="H92" s="333"/>
      <c r="I92" s="333"/>
      <c r="J92" s="358"/>
      <c r="K92" s="358"/>
      <c r="L92" s="333"/>
      <c r="M92" s="339">
        <f>SUM(B92:L92)</f>
        <v>0</v>
      </c>
      <c r="N92" s="336"/>
      <c r="O92" s="336"/>
      <c r="P92" s="333"/>
      <c r="Q92" s="336"/>
      <c r="R92" s="336"/>
      <c r="S92" s="336"/>
      <c r="T92" s="336"/>
      <c r="U92" s="339"/>
      <c r="V92" s="340"/>
    </row>
    <row r="93" spans="1:22" x14ac:dyDescent="0.2">
      <c r="A93" s="346" t="s">
        <v>322</v>
      </c>
      <c r="B93" s="352">
        <f t="shared" ref="B93:I93" si="30">SUM(B90:B91)</f>
        <v>26</v>
      </c>
      <c r="C93" s="352">
        <f t="shared" si="30"/>
        <v>78</v>
      </c>
      <c r="D93" s="352">
        <f t="shared" si="30"/>
        <v>0</v>
      </c>
      <c r="E93" s="352">
        <f t="shared" si="30"/>
        <v>193</v>
      </c>
      <c r="F93" s="352">
        <f t="shared" si="30"/>
        <v>0</v>
      </c>
      <c r="G93" s="352">
        <f t="shared" si="30"/>
        <v>47</v>
      </c>
      <c r="H93" s="352">
        <f t="shared" si="30"/>
        <v>0</v>
      </c>
      <c r="I93" s="352">
        <f t="shared" si="30"/>
        <v>0</v>
      </c>
      <c r="J93" s="352"/>
      <c r="K93" s="352"/>
      <c r="L93" s="352">
        <f>SUM(L90:L92)</f>
        <v>0</v>
      </c>
      <c r="M93" s="339">
        <f>SUM(B93:L93)</f>
        <v>344</v>
      </c>
      <c r="N93" s="339">
        <f t="shared" ref="N93:T93" si="31">SUM(N90)</f>
        <v>344</v>
      </c>
      <c r="O93" s="339">
        <f t="shared" si="31"/>
        <v>0</v>
      </c>
      <c r="P93" s="352">
        <f t="shared" si="31"/>
        <v>344</v>
      </c>
      <c r="Q93" s="339">
        <f t="shared" si="31"/>
        <v>0</v>
      </c>
      <c r="R93" s="339">
        <f t="shared" si="31"/>
        <v>0</v>
      </c>
      <c r="S93" s="339">
        <f t="shared" si="31"/>
        <v>0</v>
      </c>
      <c r="T93" s="339">
        <f t="shared" si="31"/>
        <v>0</v>
      </c>
      <c r="U93" s="339">
        <f>SUM(N93,Q93,S93,T93)</f>
        <v>344</v>
      </c>
      <c r="V93" s="347">
        <f>U93-M93</f>
        <v>0</v>
      </c>
    </row>
    <row r="94" spans="1:22" x14ac:dyDescent="0.2">
      <c r="A94" s="349"/>
      <c r="B94" s="333"/>
      <c r="C94" s="333"/>
      <c r="D94" s="333"/>
      <c r="E94" s="333"/>
      <c r="F94" s="333"/>
      <c r="G94" s="333"/>
      <c r="H94" s="333"/>
      <c r="I94" s="333"/>
      <c r="J94" s="333"/>
      <c r="K94" s="333"/>
      <c r="L94" s="333"/>
      <c r="M94" s="339"/>
      <c r="N94" s="336"/>
      <c r="O94" s="336"/>
      <c r="P94" s="333"/>
      <c r="Q94" s="336"/>
      <c r="R94" s="336"/>
      <c r="S94" s="336"/>
      <c r="T94" s="336"/>
      <c r="U94" s="339"/>
      <c r="V94" s="350"/>
    </row>
    <row r="95" spans="1:22" ht="27" customHeight="1" x14ac:dyDescent="0.2">
      <c r="A95" s="357" t="s">
        <v>335</v>
      </c>
      <c r="B95" s="333"/>
      <c r="C95" s="333"/>
      <c r="D95" s="333"/>
      <c r="E95" s="333"/>
      <c r="F95" s="333"/>
      <c r="G95" s="333"/>
      <c r="H95" s="333"/>
      <c r="I95" s="333"/>
      <c r="J95" s="333"/>
      <c r="K95" s="333"/>
      <c r="L95" s="333"/>
      <c r="M95" s="339"/>
      <c r="N95" s="336"/>
      <c r="O95" s="336"/>
      <c r="P95" s="333"/>
      <c r="Q95" s="336"/>
      <c r="R95" s="336"/>
      <c r="S95" s="336"/>
      <c r="T95" s="336"/>
      <c r="U95" s="339"/>
      <c r="V95" s="350"/>
    </row>
    <row r="96" spans="1:22" x14ac:dyDescent="0.2">
      <c r="A96" s="342" t="s">
        <v>319</v>
      </c>
      <c r="B96" s="336"/>
      <c r="C96" s="336">
        <v>4744</v>
      </c>
      <c r="D96" s="336"/>
      <c r="E96" s="336"/>
      <c r="F96" s="336"/>
      <c r="G96" s="336"/>
      <c r="H96" s="336"/>
      <c r="I96" s="336">
        <v>3164</v>
      </c>
      <c r="J96" s="333"/>
      <c r="K96" s="333"/>
      <c r="L96" s="333"/>
      <c r="M96" s="339">
        <f>SUM(B96:L96)</f>
        <v>7908</v>
      </c>
      <c r="N96" s="336">
        <v>33689</v>
      </c>
      <c r="O96" s="336"/>
      <c r="P96" s="336">
        <f>N96-O96</f>
        <v>33689</v>
      </c>
      <c r="Q96" s="336"/>
      <c r="R96" s="336"/>
      <c r="S96" s="336"/>
      <c r="T96" s="336"/>
      <c r="U96" s="339">
        <f>SUM(N96,Q96,S96,T96)</f>
        <v>33689</v>
      </c>
      <c r="V96" s="340"/>
    </row>
    <row r="97" spans="1:22" x14ac:dyDescent="0.2">
      <c r="A97" s="342" t="s">
        <v>320</v>
      </c>
      <c r="B97" s="336">
        <v>234</v>
      </c>
      <c r="C97" s="336">
        <v>4974</v>
      </c>
      <c r="D97" s="336">
        <f>1320-18</f>
        <v>1302</v>
      </c>
      <c r="E97" s="336">
        <v>13624</v>
      </c>
      <c r="F97" s="336">
        <v>752</v>
      </c>
      <c r="G97" s="336">
        <v>4745</v>
      </c>
      <c r="H97" s="336">
        <v>132</v>
      </c>
      <c r="I97" s="336">
        <v>18</v>
      </c>
      <c r="J97" s="333"/>
      <c r="K97" s="333"/>
      <c r="L97" s="336"/>
      <c r="M97" s="339">
        <f>SUM(B97:L97)</f>
        <v>25781</v>
      </c>
      <c r="N97" s="336"/>
      <c r="O97" s="336"/>
      <c r="P97" s="333"/>
      <c r="Q97" s="336"/>
      <c r="R97" s="336"/>
      <c r="S97" s="336"/>
      <c r="T97" s="336"/>
      <c r="U97" s="339"/>
      <c r="V97" s="340"/>
    </row>
    <row r="98" spans="1:22" ht="12.75" customHeight="1" x14ac:dyDescent="0.2">
      <c r="A98" s="344" t="s">
        <v>321</v>
      </c>
      <c r="B98" s="333">
        <v>234</v>
      </c>
      <c r="C98" s="333">
        <v>4974</v>
      </c>
      <c r="D98" s="333">
        <v>1302</v>
      </c>
      <c r="E98" s="333">
        <v>13624</v>
      </c>
      <c r="F98" s="333">
        <v>752</v>
      </c>
      <c r="G98" s="333">
        <v>4745</v>
      </c>
      <c r="H98" s="333">
        <v>132</v>
      </c>
      <c r="I98" s="333">
        <v>18</v>
      </c>
      <c r="J98" s="358"/>
      <c r="K98" s="358"/>
      <c r="L98" s="333"/>
      <c r="M98" s="339">
        <f>SUM(B98:L98)</f>
        <v>25781</v>
      </c>
      <c r="N98" s="336"/>
      <c r="O98" s="336"/>
      <c r="P98" s="333"/>
      <c r="Q98" s="336"/>
      <c r="R98" s="336"/>
      <c r="S98" s="336"/>
      <c r="T98" s="336"/>
      <c r="U98" s="339"/>
      <c r="V98" s="340"/>
    </row>
    <row r="99" spans="1:22" ht="16.5" customHeight="1" x14ac:dyDescent="0.2">
      <c r="A99" s="346" t="s">
        <v>322</v>
      </c>
      <c r="B99" s="352">
        <f t="shared" ref="B99:L99" si="32">SUM(B96:B97)</f>
        <v>234</v>
      </c>
      <c r="C99" s="352">
        <f t="shared" si="32"/>
        <v>9718</v>
      </c>
      <c r="D99" s="352">
        <f t="shared" si="32"/>
        <v>1302</v>
      </c>
      <c r="E99" s="352">
        <f t="shared" si="32"/>
        <v>13624</v>
      </c>
      <c r="F99" s="352">
        <f t="shared" si="32"/>
        <v>752</v>
      </c>
      <c r="G99" s="352">
        <f t="shared" si="32"/>
        <v>4745</v>
      </c>
      <c r="H99" s="352">
        <f t="shared" si="32"/>
        <v>132</v>
      </c>
      <c r="I99" s="352">
        <f t="shared" si="32"/>
        <v>3182</v>
      </c>
      <c r="J99" s="352">
        <f t="shared" si="32"/>
        <v>0</v>
      </c>
      <c r="K99" s="352">
        <f t="shared" si="32"/>
        <v>0</v>
      </c>
      <c r="L99" s="352">
        <f t="shared" si="32"/>
        <v>0</v>
      </c>
      <c r="M99" s="339">
        <f>SUM(B99:L99)</f>
        <v>33689</v>
      </c>
      <c r="N99" s="339">
        <f t="shared" ref="N99:T99" si="33">SUM(N96)</f>
        <v>33689</v>
      </c>
      <c r="O99" s="339">
        <f t="shared" si="33"/>
        <v>0</v>
      </c>
      <c r="P99" s="352">
        <f t="shared" si="33"/>
        <v>33689</v>
      </c>
      <c r="Q99" s="339">
        <f t="shared" si="33"/>
        <v>0</v>
      </c>
      <c r="R99" s="339">
        <f t="shared" si="33"/>
        <v>0</v>
      </c>
      <c r="S99" s="339">
        <f t="shared" si="33"/>
        <v>0</v>
      </c>
      <c r="T99" s="339">
        <f t="shared" si="33"/>
        <v>0</v>
      </c>
      <c r="U99" s="339">
        <f>SUM(N99,Q99,S99,T99)</f>
        <v>33689</v>
      </c>
      <c r="V99" s="347">
        <f>U99-M99</f>
        <v>0</v>
      </c>
    </row>
    <row r="100" spans="1:22" x14ac:dyDescent="0.2">
      <c r="A100" s="349"/>
      <c r="B100" s="333"/>
      <c r="C100" s="333"/>
      <c r="D100" s="333"/>
      <c r="E100" s="333"/>
      <c r="F100" s="333"/>
      <c r="G100" s="333"/>
      <c r="H100" s="333"/>
      <c r="I100" s="333"/>
      <c r="J100" s="333"/>
      <c r="K100" s="333"/>
      <c r="L100" s="333"/>
      <c r="M100" s="339"/>
      <c r="N100" s="336"/>
      <c r="O100" s="336"/>
      <c r="P100" s="333"/>
      <c r="Q100" s="336"/>
      <c r="R100" s="336"/>
      <c r="S100" s="336"/>
      <c r="T100" s="336"/>
      <c r="U100" s="339"/>
      <c r="V100" s="350"/>
    </row>
    <row r="101" spans="1:22" ht="25.5" x14ac:dyDescent="0.2">
      <c r="A101" s="357" t="s">
        <v>336</v>
      </c>
      <c r="B101" s="333"/>
      <c r="C101" s="333"/>
      <c r="D101" s="333"/>
      <c r="E101" s="333"/>
      <c r="F101" s="333"/>
      <c r="G101" s="333"/>
      <c r="H101" s="333"/>
      <c r="I101" s="333"/>
      <c r="J101" s="333"/>
      <c r="K101" s="333"/>
      <c r="L101" s="333"/>
      <c r="M101" s="339"/>
      <c r="N101" s="336"/>
      <c r="O101" s="336"/>
      <c r="P101" s="333"/>
      <c r="Q101" s="336"/>
      <c r="R101" s="336"/>
      <c r="S101" s="336"/>
      <c r="T101" s="336"/>
      <c r="U101" s="339"/>
      <c r="V101" s="350"/>
    </row>
    <row r="102" spans="1:22" x14ac:dyDescent="0.2">
      <c r="A102" s="342" t="s">
        <v>319</v>
      </c>
      <c r="B102" s="336">
        <f>SUM(B96,B90,B78,B72,B66,B60,B84)</f>
        <v>293</v>
      </c>
      <c r="C102" s="336">
        <f t="shared" ref="C102:L102" si="34">SUM(C96,C90,C78,C72,C66,C60,C84)</f>
        <v>60236</v>
      </c>
      <c r="D102" s="336">
        <f t="shared" si="34"/>
        <v>0</v>
      </c>
      <c r="E102" s="336">
        <f t="shared" si="34"/>
        <v>1239</v>
      </c>
      <c r="F102" s="336">
        <f t="shared" si="34"/>
        <v>0</v>
      </c>
      <c r="G102" s="336">
        <f t="shared" si="34"/>
        <v>306</v>
      </c>
      <c r="H102" s="336">
        <f t="shared" si="34"/>
        <v>8496</v>
      </c>
      <c r="I102" s="336">
        <f t="shared" si="34"/>
        <v>3566</v>
      </c>
      <c r="J102" s="336">
        <f t="shared" si="34"/>
        <v>0</v>
      </c>
      <c r="K102" s="336">
        <f t="shared" si="34"/>
        <v>0</v>
      </c>
      <c r="L102" s="336">
        <f t="shared" si="34"/>
        <v>12948</v>
      </c>
      <c r="M102" s="339">
        <f>SUM(B102:L102)</f>
        <v>87084</v>
      </c>
      <c r="N102" s="336">
        <f>SUM(N96,N90,N78,N72,N66,N60,N84)</f>
        <v>124277</v>
      </c>
      <c r="O102" s="336">
        <f t="shared" ref="O102:T103" si="35">SUM(O96,O90,O78,O72,O66,O60,O84)</f>
        <v>12948</v>
      </c>
      <c r="P102" s="336">
        <f t="shared" si="35"/>
        <v>111329</v>
      </c>
      <c r="Q102" s="336">
        <f t="shared" si="35"/>
        <v>10761</v>
      </c>
      <c r="R102" s="336">
        <f t="shared" si="35"/>
        <v>10703</v>
      </c>
      <c r="S102" s="336">
        <f t="shared" si="35"/>
        <v>0</v>
      </c>
      <c r="T102" s="336">
        <f t="shared" si="35"/>
        <v>8607</v>
      </c>
      <c r="U102" s="339">
        <f>SUM(N102,Q102,S102,T102)</f>
        <v>143645</v>
      </c>
      <c r="V102" s="340"/>
    </row>
    <row r="103" spans="1:22" x14ac:dyDescent="0.2">
      <c r="A103" s="342" t="s">
        <v>320</v>
      </c>
      <c r="B103" s="336">
        <f t="shared" ref="B103:L104" si="36">SUM(B97,B91,B79,B73,B67,B61,B85)</f>
        <v>468</v>
      </c>
      <c r="C103" s="336">
        <f t="shared" si="36"/>
        <v>9660</v>
      </c>
      <c r="D103" s="336">
        <f t="shared" si="36"/>
        <v>2557</v>
      </c>
      <c r="E103" s="336">
        <f t="shared" si="36"/>
        <v>31646</v>
      </c>
      <c r="F103" s="336">
        <f t="shared" si="36"/>
        <v>1447</v>
      </c>
      <c r="G103" s="336">
        <f t="shared" si="36"/>
        <v>10492</v>
      </c>
      <c r="H103" s="336">
        <f t="shared" si="36"/>
        <v>256</v>
      </c>
      <c r="I103" s="336">
        <f t="shared" si="36"/>
        <v>35</v>
      </c>
      <c r="J103" s="336">
        <f t="shared" si="36"/>
        <v>0</v>
      </c>
      <c r="K103" s="336">
        <f t="shared" si="36"/>
        <v>0</v>
      </c>
      <c r="L103" s="336">
        <f t="shared" si="36"/>
        <v>0</v>
      </c>
      <c r="M103" s="339">
        <f>SUM(B103:L103)</f>
        <v>56561</v>
      </c>
      <c r="N103" s="336">
        <f>SUM(N7,N91,N79,N73,N67,N61,N85)</f>
        <v>0</v>
      </c>
      <c r="O103" s="336">
        <f t="shared" si="35"/>
        <v>0</v>
      </c>
      <c r="P103" s="336">
        <f t="shared" si="35"/>
        <v>0</v>
      </c>
      <c r="Q103" s="336">
        <f t="shared" si="35"/>
        <v>0</v>
      </c>
      <c r="R103" s="336">
        <f t="shared" si="35"/>
        <v>0</v>
      </c>
      <c r="S103" s="336">
        <f t="shared" si="35"/>
        <v>0</v>
      </c>
      <c r="T103" s="336">
        <f t="shared" si="35"/>
        <v>0</v>
      </c>
      <c r="U103" s="339"/>
      <c r="V103" s="340"/>
    </row>
    <row r="104" spans="1:22" x14ac:dyDescent="0.2">
      <c r="A104" s="344" t="s">
        <v>321</v>
      </c>
      <c r="B104" s="336">
        <f t="shared" si="36"/>
        <v>455</v>
      </c>
      <c r="C104" s="336">
        <f t="shared" si="36"/>
        <v>9653</v>
      </c>
      <c r="D104" s="336">
        <f t="shared" si="36"/>
        <v>2547</v>
      </c>
      <c r="E104" s="336">
        <f t="shared" si="36"/>
        <v>26550</v>
      </c>
      <c r="F104" s="336">
        <f t="shared" si="36"/>
        <v>1447</v>
      </c>
      <c r="G104" s="336">
        <f t="shared" si="36"/>
        <v>9239</v>
      </c>
      <c r="H104" s="336">
        <f t="shared" si="36"/>
        <v>256</v>
      </c>
      <c r="I104" s="336">
        <f t="shared" si="36"/>
        <v>35</v>
      </c>
      <c r="J104" s="336">
        <f t="shared" si="36"/>
        <v>0</v>
      </c>
      <c r="K104" s="336">
        <f t="shared" si="36"/>
        <v>0</v>
      </c>
      <c r="L104" s="336">
        <f t="shared" si="36"/>
        <v>0</v>
      </c>
      <c r="M104" s="339">
        <f>SUM(B104:L104)</f>
        <v>50182</v>
      </c>
      <c r="N104" s="336">
        <f t="shared" ref="N104:T104" si="37">SUM(N98,N92,N80,N74,N68,N62,N86)</f>
        <v>0</v>
      </c>
      <c r="O104" s="336">
        <f t="shared" si="37"/>
        <v>0</v>
      </c>
      <c r="P104" s="336">
        <f t="shared" si="37"/>
        <v>0</v>
      </c>
      <c r="Q104" s="336">
        <f t="shared" si="37"/>
        <v>0</v>
      </c>
      <c r="R104" s="336">
        <f t="shared" si="37"/>
        <v>0</v>
      </c>
      <c r="S104" s="336">
        <f t="shared" si="37"/>
        <v>0</v>
      </c>
      <c r="T104" s="336">
        <f t="shared" si="37"/>
        <v>0</v>
      </c>
      <c r="U104" s="339"/>
      <c r="V104" s="340"/>
    </row>
    <row r="105" spans="1:22" x14ac:dyDescent="0.2">
      <c r="A105" s="346" t="s">
        <v>322</v>
      </c>
      <c r="B105" s="352">
        <f t="shared" ref="B105:L105" si="38">SUM(B102:B103)</f>
        <v>761</v>
      </c>
      <c r="C105" s="352">
        <f t="shared" si="38"/>
        <v>69896</v>
      </c>
      <c r="D105" s="352">
        <f t="shared" si="38"/>
        <v>2557</v>
      </c>
      <c r="E105" s="352">
        <f t="shared" si="38"/>
        <v>32885</v>
      </c>
      <c r="F105" s="352">
        <f t="shared" si="38"/>
        <v>1447</v>
      </c>
      <c r="G105" s="352">
        <f t="shared" si="38"/>
        <v>10798</v>
      </c>
      <c r="H105" s="352">
        <f t="shared" si="38"/>
        <v>8752</v>
      </c>
      <c r="I105" s="352">
        <f t="shared" si="38"/>
        <v>3601</v>
      </c>
      <c r="J105" s="352">
        <f t="shared" si="38"/>
        <v>0</v>
      </c>
      <c r="K105" s="352">
        <f t="shared" si="38"/>
        <v>0</v>
      </c>
      <c r="L105" s="352">
        <f t="shared" si="38"/>
        <v>12948</v>
      </c>
      <c r="M105" s="339">
        <f>SUM(B105:L105)</f>
        <v>143645</v>
      </c>
      <c r="N105" s="339">
        <f t="shared" ref="N105:T105" si="39">SUM(N102)</f>
        <v>124277</v>
      </c>
      <c r="O105" s="339">
        <f t="shared" si="39"/>
        <v>12948</v>
      </c>
      <c r="P105" s="352">
        <f t="shared" si="39"/>
        <v>111329</v>
      </c>
      <c r="Q105" s="339">
        <f t="shared" si="39"/>
        <v>10761</v>
      </c>
      <c r="R105" s="339">
        <f t="shared" si="39"/>
        <v>10703</v>
      </c>
      <c r="S105" s="339">
        <f t="shared" si="39"/>
        <v>0</v>
      </c>
      <c r="T105" s="339">
        <f t="shared" si="39"/>
        <v>8607</v>
      </c>
      <c r="U105" s="339">
        <f>SUM(N105,Q105,S105,T105)</f>
        <v>143645</v>
      </c>
      <c r="V105" s="347">
        <f>U105-M105</f>
        <v>0</v>
      </c>
    </row>
    <row r="106" spans="1:22" x14ac:dyDescent="0.2">
      <c r="A106" s="349"/>
      <c r="B106" s="333"/>
      <c r="C106" s="333"/>
      <c r="D106" s="333"/>
      <c r="E106" s="333"/>
      <c r="F106" s="333"/>
      <c r="G106" s="333"/>
      <c r="H106" s="333"/>
      <c r="I106" s="333"/>
      <c r="J106" s="333"/>
      <c r="K106" s="333"/>
      <c r="L106" s="333"/>
      <c r="M106" s="339"/>
      <c r="N106" s="336"/>
      <c r="O106" s="336"/>
      <c r="P106" s="333"/>
      <c r="Q106" s="336"/>
      <c r="R106" s="336"/>
      <c r="S106" s="336"/>
      <c r="T106" s="336"/>
      <c r="U106" s="339"/>
      <c r="V106" s="350"/>
    </row>
    <row r="107" spans="1:22" ht="39.75" customHeight="1" x14ac:dyDescent="0.2">
      <c r="A107" s="357" t="s">
        <v>337</v>
      </c>
      <c r="B107" s="352">
        <f>SUM(B57,B105)</f>
        <v>192686</v>
      </c>
      <c r="C107" s="352">
        <f t="shared" ref="C107:H107" si="40">SUM(C57,C105)</f>
        <v>372320</v>
      </c>
      <c r="D107" s="352">
        <f t="shared" si="40"/>
        <v>12732</v>
      </c>
      <c r="E107" s="352">
        <f t="shared" si="40"/>
        <v>976032</v>
      </c>
      <c r="F107" s="352">
        <f t="shared" si="40"/>
        <v>48727</v>
      </c>
      <c r="G107" s="352">
        <f t="shared" si="40"/>
        <v>261434</v>
      </c>
      <c r="H107" s="352">
        <f t="shared" si="40"/>
        <v>115469</v>
      </c>
      <c r="I107" s="352">
        <f>SUM(I57,I105)</f>
        <v>8266</v>
      </c>
      <c r="J107" s="352">
        <f t="shared" ref="J107:M107" si="41">SUM(J57,J99,J63,J69,J81,J75,J93)</f>
        <v>0</v>
      </c>
      <c r="K107" s="352">
        <f t="shared" si="41"/>
        <v>0</v>
      </c>
      <c r="L107" s="352">
        <f t="shared" si="41"/>
        <v>17722</v>
      </c>
      <c r="M107" s="352">
        <f t="shared" si="41"/>
        <v>2005357</v>
      </c>
      <c r="N107" s="352">
        <f>SUM(N57,N105)</f>
        <v>1717489</v>
      </c>
      <c r="O107" s="352">
        <f t="shared" ref="O107:U107" si="42">SUM(O57,O105)</f>
        <v>1559343</v>
      </c>
      <c r="P107" s="352">
        <f t="shared" si="42"/>
        <v>158146</v>
      </c>
      <c r="Q107" s="352">
        <f t="shared" si="42"/>
        <v>160013</v>
      </c>
      <c r="R107" s="352">
        <f t="shared" si="42"/>
        <v>158556</v>
      </c>
      <c r="S107" s="352">
        <f t="shared" si="42"/>
        <v>89</v>
      </c>
      <c r="T107" s="352">
        <f t="shared" si="42"/>
        <v>97117</v>
      </c>
      <c r="U107" s="352">
        <f t="shared" si="42"/>
        <v>1974708</v>
      </c>
      <c r="V107" s="347">
        <f>SUM(V57,V99,V63,V69,V81,V75,V93)</f>
        <v>-30680</v>
      </c>
    </row>
    <row r="108" spans="1:22" x14ac:dyDescent="0.2">
      <c r="A108" s="335" t="s">
        <v>338</v>
      </c>
      <c r="B108" s="339">
        <v>189000</v>
      </c>
      <c r="C108" s="339">
        <v>353240</v>
      </c>
      <c r="D108" s="339">
        <v>10000</v>
      </c>
      <c r="E108" s="360">
        <v>923454</v>
      </c>
      <c r="F108" s="360">
        <v>45770</v>
      </c>
      <c r="G108" s="360">
        <v>253636</v>
      </c>
      <c r="H108" s="360">
        <v>125000</v>
      </c>
      <c r="I108" s="360">
        <v>6000</v>
      </c>
      <c r="J108" s="360"/>
      <c r="K108" s="360"/>
      <c r="L108" s="360">
        <v>11900</v>
      </c>
      <c r="M108" s="339">
        <f>SUM(B108:L108)</f>
        <v>1918000</v>
      </c>
      <c r="N108" s="339">
        <v>1652000</v>
      </c>
      <c r="O108" s="339">
        <v>1486500</v>
      </c>
      <c r="P108" s="339">
        <f>N108-O108</f>
        <v>165500</v>
      </c>
      <c r="Q108" s="339">
        <v>140700</v>
      </c>
      <c r="R108" s="339">
        <v>140000</v>
      </c>
      <c r="S108" s="339">
        <v>300</v>
      </c>
      <c r="T108" s="339">
        <v>90000</v>
      </c>
      <c r="U108" s="339">
        <f>SUM(N108,Q108,S108,T108)</f>
        <v>1883000</v>
      </c>
      <c r="V108" s="347">
        <f>U108-M108</f>
        <v>-35000</v>
      </c>
    </row>
    <row r="109" spans="1:22" ht="13.5" thickBot="1" x14ac:dyDescent="0.25">
      <c r="A109" s="361" t="s">
        <v>339</v>
      </c>
      <c r="B109" s="362"/>
      <c r="C109" s="362">
        <f t="shared" ref="C109:I109" si="43">C107/C108*100</f>
        <v>105.40142679198279</v>
      </c>
      <c r="D109" s="362">
        <f t="shared" si="43"/>
        <v>127.32000000000001</v>
      </c>
      <c r="E109" s="362">
        <f t="shared" si="43"/>
        <v>105.69362415453287</v>
      </c>
      <c r="F109" s="362">
        <f t="shared" si="43"/>
        <v>106.46056368800525</v>
      </c>
      <c r="G109" s="362">
        <f t="shared" si="43"/>
        <v>103.07448469460172</v>
      </c>
      <c r="H109" s="362">
        <f t="shared" si="43"/>
        <v>92.375200000000007</v>
      </c>
      <c r="I109" s="363">
        <f t="shared" si="43"/>
        <v>137.76666666666665</v>
      </c>
      <c r="J109" s="362"/>
      <c r="K109" s="362"/>
      <c r="L109" s="362">
        <f t="shared" ref="L109:U109" si="44">L107/L108*100</f>
        <v>148.92436974789916</v>
      </c>
      <c r="M109" s="362">
        <f t="shared" si="44"/>
        <v>104.55458811261731</v>
      </c>
      <c r="N109" s="364">
        <f t="shared" si="44"/>
        <v>103.96422518159807</v>
      </c>
      <c r="O109" s="364">
        <f t="shared" si="44"/>
        <v>104.90030272452069</v>
      </c>
      <c r="P109" s="362">
        <f t="shared" si="44"/>
        <v>95.556495468277944</v>
      </c>
      <c r="Q109" s="364">
        <f t="shared" si="44"/>
        <v>113.72636815920399</v>
      </c>
      <c r="R109" s="364">
        <f t="shared" si="44"/>
        <v>113.25428571428571</v>
      </c>
      <c r="S109" s="364">
        <f t="shared" si="44"/>
        <v>29.666666666666668</v>
      </c>
      <c r="T109" s="364">
        <f t="shared" si="44"/>
        <v>107.90777777777778</v>
      </c>
      <c r="U109" s="362">
        <f t="shared" si="44"/>
        <v>104.87031332979288</v>
      </c>
      <c r="V109" s="365"/>
    </row>
  </sheetData>
  <mergeCells count="22">
    <mergeCell ref="A1:A4"/>
    <mergeCell ref="B1:M1"/>
    <mergeCell ref="N1:U1"/>
    <mergeCell ref="B2:B3"/>
    <mergeCell ref="C2:C3"/>
    <mergeCell ref="D2:D3"/>
    <mergeCell ref="E2:E3"/>
    <mergeCell ref="F2:F3"/>
    <mergeCell ref="G2:G3"/>
    <mergeCell ref="H2:H3"/>
    <mergeCell ref="V2:V3"/>
    <mergeCell ref="I2:I3"/>
    <mergeCell ref="L2:L3"/>
    <mergeCell ref="M2:M3"/>
    <mergeCell ref="N2:N3"/>
    <mergeCell ref="O2:O3"/>
    <mergeCell ref="P2:P3"/>
    <mergeCell ref="Q2:Q3"/>
    <mergeCell ref="R2:R3"/>
    <mergeCell ref="S2:S3"/>
    <mergeCell ref="T2:T3"/>
    <mergeCell ref="U2:U3"/>
  </mergeCells>
  <conditionalFormatting sqref="A1 R1:R2 R4:R65503 V94:V98 A5:A65503 V76:V80 V70:V74 S107:V107 V64:V68 V46:V50 V88:V92 B60:L62 L63:L66 L68:L70 L108:L65503 W1:IR1048576 V100:V101 V103:V104 S1:U106 S108:U1048576 B63:K70 B71:Q107 B108:K1048576 M60:Q70 B1:Q59 M108:Q1048576 V106 V108:V65503 V82:V86 V52:V62 V40:V44 V34:V38 V28:V32 V22:V26 V16:V20 V1:V8 V10:V14">
    <cfRule type="cellIs" dxfId="1" priority="1" stopIfTrue="1" operator="equal">
      <formula>0</formula>
    </cfRule>
  </conditionalFormatting>
  <printOptions horizontalCentered="1" gridLines="1" gridLinesSet="0"/>
  <pageMargins left="0.19685039370078741" right="0.23622047244094491" top="0.78740157480314965" bottom="0.23622047244094491" header="0.35433070866141736" footer="7.874015748031496E-2"/>
  <pageSetup paperSize="9" scale="60" orientation="landscape" r:id="rId1"/>
  <headerFooter alignWithMargins="0">
    <oddHeader xml:space="preserve">&amp;LXIII.ker.Egészségügyi Szolgálat Közhasznú Nonprofi Kft.
&amp;C&amp;"Times New Roman,Félkövér"&amp;12Eredménykimutatás szakterületenként 2016.év&amp;"MS Sans Serif,Normál"&amp;10
</oddHeader>
    <oddFooter>&amp;L&amp;D</oddFooter>
  </headerFooter>
  <rowBreaks count="1" manualBreakCount="1">
    <brk id="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26</vt:i4>
      </vt:variant>
      <vt:variant>
        <vt:lpstr>Névvel ellátott tartományok</vt:lpstr>
      </vt:variant>
      <vt:variant>
        <vt:i4>12</vt:i4>
      </vt:variant>
    </vt:vector>
  </HeadingPairs>
  <TitlesOfParts>
    <vt:vector size="38" baseType="lpstr">
      <vt:lpstr>1</vt:lpstr>
      <vt:lpstr>1 (szegedi)</vt:lpstr>
      <vt:lpstr>1 (visegrádi)</vt:lpstr>
      <vt:lpstr>2</vt:lpstr>
      <vt:lpstr>3</vt:lpstr>
      <vt:lpstr>4</vt:lpstr>
      <vt:lpstr>5</vt:lpstr>
      <vt:lpstr>6 (állományi)</vt:lpstr>
      <vt:lpstr>6 (statisztikai)</vt:lpstr>
      <vt:lpstr>7</vt:lpstr>
      <vt:lpstr>8</vt:lpstr>
      <vt:lpstr>9</vt:lpstr>
      <vt:lpstr>10</vt:lpstr>
      <vt:lpstr>10 (egyenleg)</vt:lpstr>
      <vt:lpstr>beruházás</vt:lpstr>
      <vt:lpstr>beruházás A</vt:lpstr>
      <vt:lpstr>Eredmény</vt:lpstr>
      <vt:lpstr>Eszközök (átsorolás után)</vt:lpstr>
      <vt:lpstr>Források (átsorolás után)</vt:lpstr>
      <vt:lpstr>Szegedi TH</vt:lpstr>
      <vt:lpstr>Visegrádi TH</vt:lpstr>
      <vt:lpstr>Munka1</vt:lpstr>
      <vt:lpstr>vis</vt:lpstr>
      <vt:lpstr>szeg</vt:lpstr>
      <vt:lpstr>össz. járó</vt:lpstr>
      <vt:lpstr>2016.év</vt:lpstr>
      <vt:lpstr>'2016.év'!Nyomtatási_cím</vt:lpstr>
      <vt:lpstr>'10'!Nyomtatási_terület</vt:lpstr>
      <vt:lpstr>'10 (egyenleg)'!Nyomtatási_terület</vt:lpstr>
      <vt:lpstr>'2'!Nyomtatási_terület</vt:lpstr>
      <vt:lpstr>'2016.év'!Nyomtatási_terület</vt:lpstr>
      <vt:lpstr>'5'!Nyomtatási_terület</vt:lpstr>
      <vt:lpstr>'7'!Nyomtatási_terület</vt:lpstr>
      <vt:lpstr>'8'!Nyomtatási_terület</vt:lpstr>
      <vt:lpstr>'9'!Nyomtatási_terület</vt:lpstr>
      <vt:lpstr>'össz. járó'!Nyomtatási_terület</vt:lpstr>
      <vt:lpstr>szeg!Nyomtatási_terület</vt:lpstr>
      <vt:lpstr>vis!Nyomtatási_terület</vt:lpstr>
    </vt:vector>
  </TitlesOfParts>
  <Company>XIII. Ker. EuSzolg.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</dc:creator>
  <cp:lastModifiedBy>Ottinger Vilmos</cp:lastModifiedBy>
  <cp:lastPrinted>2017-03-16T14:16:07Z</cp:lastPrinted>
  <dcterms:created xsi:type="dcterms:W3CDTF">2006-07-06T11:18:18Z</dcterms:created>
  <dcterms:modified xsi:type="dcterms:W3CDTF">2017-03-16T14:16:17Z</dcterms:modified>
</cp:coreProperties>
</file>